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FC-Admin\Case Processing\Forms and Procedures\Family Court Official Forms\500 - Miscellaneous and Internal Forms\509c - Child Support Calculator - Excel\"/>
    </mc:Choice>
  </mc:AlternateContent>
  <xr:revisionPtr revIDLastSave="0" documentId="13_ncr:1_{50F33965-7D0F-4031-8C94-9C011A851C88}" xr6:coauthVersionLast="47" xr6:coauthVersionMax="47" xr10:uidLastSave="{00000000-0000-0000-0000-000000000000}"/>
  <bookViews>
    <workbookView showHorizontalScroll="0" showSheetTabs="0" xWindow="-28920" yWindow="-120" windowWidth="29040" windowHeight="1584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Sheet1!$L$2:$W$51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1" i="1" l="1"/>
  <c r="Q41" i="1"/>
  <c r="Q18" i="1"/>
  <c r="I56" i="1" l="1"/>
  <c r="C56" i="1"/>
  <c r="C55" i="1"/>
  <c r="I57" i="1"/>
  <c r="C57" i="1"/>
  <c r="J13" i="1" l="1"/>
  <c r="O5" i="1" s="1"/>
  <c r="E13" i="1"/>
  <c r="O4" i="1" s="1"/>
  <c r="O9" i="1" s="1"/>
  <c r="P22" i="1" l="1"/>
  <c r="S16" i="1"/>
  <c r="R10" i="1"/>
  <c r="U13" i="1"/>
  <c r="S22" i="1" s="1"/>
  <c r="S10" i="1"/>
  <c r="S9" i="1"/>
  <c r="P10" i="1"/>
  <c r="P9" i="1"/>
  <c r="Q10" i="1"/>
  <c r="Q9" i="1"/>
  <c r="R9" i="1"/>
  <c r="U3" i="1"/>
  <c r="N9" i="1" s="1"/>
  <c r="V3" i="1"/>
  <c r="O23" i="1" s="1"/>
  <c r="V20" i="1"/>
  <c r="U20" i="1"/>
  <c r="V19" i="1"/>
  <c r="U19" i="1"/>
  <c r="T24" i="1"/>
  <c r="T25" i="1"/>
  <c r="S5" i="1"/>
  <c r="V6" i="1" s="1"/>
  <c r="S4" i="1"/>
  <c r="U6" i="1" s="1"/>
  <c r="R5" i="1"/>
  <c r="Q5" i="1"/>
  <c r="P5" i="1"/>
  <c r="P4" i="1"/>
  <c r="Q4" i="1"/>
  <c r="R4" i="1"/>
  <c r="R23" i="1"/>
  <c r="R22" i="1"/>
  <c r="Q23" i="1"/>
  <c r="Q22" i="1"/>
  <c r="P23" i="1"/>
  <c r="Q27" i="1"/>
  <c r="V13" i="1"/>
  <c r="S23" i="1" s="1"/>
  <c r="V37" i="1"/>
  <c r="V38" i="1" s="1"/>
  <c r="U37" i="1"/>
  <c r="U38" i="1" s="1"/>
  <c r="V17" i="1"/>
  <c r="U35" i="1" s="1"/>
  <c r="U17" i="1"/>
  <c r="V35" i="1" s="1"/>
  <c r="I39" i="1"/>
  <c r="V23" i="1" l="1"/>
  <c r="A14" i="1"/>
  <c r="V7" i="1"/>
  <c r="K6" i="1" s="1"/>
  <c r="V5" i="1"/>
  <c r="N5" i="1"/>
  <c r="N10" i="1"/>
  <c r="O22" i="1"/>
  <c r="N4" i="1"/>
  <c r="U7" i="1"/>
  <c r="A6" i="1" s="1"/>
  <c r="U4" i="1"/>
  <c r="U9" i="1"/>
  <c r="U22" i="1"/>
  <c r="U34" i="1" s="1"/>
  <c r="O10" i="1" l="1"/>
  <c r="K14" i="1" s="1"/>
  <c r="U12" i="1"/>
  <c r="W4" i="1"/>
  <c r="V10" i="1" l="1"/>
  <c r="U14" i="1"/>
  <c r="V14" i="1"/>
  <c r="V34" i="1" l="1"/>
  <c r="W17" i="1"/>
  <c r="V29" i="1" s="1"/>
  <c r="V12" i="1" l="1"/>
  <c r="V15" i="1" s="1"/>
  <c r="S18" i="1"/>
  <c r="U29" i="1"/>
  <c r="U15" i="1"/>
  <c r="V18" i="1" l="1"/>
  <c r="V24" i="1" s="1"/>
  <c r="U18" i="1"/>
  <c r="U24" i="1" s="1"/>
  <c r="V39" i="1"/>
  <c r="U39" i="1"/>
  <c r="W15" i="1"/>
  <c r="W24" i="1" l="1"/>
  <c r="V16" i="1"/>
  <c r="U16" i="1"/>
  <c r="U42" i="1" s="1"/>
  <c r="V25" i="1" l="1"/>
  <c r="V26" i="1" s="1"/>
  <c r="V27" i="1" s="1"/>
  <c r="V42" i="1"/>
  <c r="U25" i="1"/>
  <c r="U26" i="1" s="1"/>
  <c r="U27" i="1" s="1"/>
  <c r="W27" i="1" l="1"/>
  <c r="V28" i="1" s="1"/>
  <c r="U28" i="1" l="1"/>
  <c r="U30" i="1" s="1"/>
  <c r="U32" i="1" s="1"/>
  <c r="V30" i="1"/>
  <c r="V32" i="1" s="1"/>
  <c r="W30" i="1" l="1"/>
  <c r="W31" i="1" s="1"/>
  <c r="U33" i="1" l="1"/>
  <c r="V36" i="1" s="1"/>
  <c r="V33" i="1"/>
  <c r="U36" i="1" s="1"/>
  <c r="V40" i="1" l="1"/>
  <c r="U40" i="1"/>
  <c r="V51" i="1" l="1"/>
  <c r="K39" i="1" s="1"/>
  <c r="V50" i="1"/>
  <c r="S51" i="1"/>
  <c r="R51" i="1"/>
  <c r="P51" i="1"/>
  <c r="O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Lippy, John</author>
  </authors>
  <commentList>
    <comment ref="C44" authorId="0" shapeId="0" xr:uid="{74B6037A-0E46-4A4C-ACE2-E9518846663D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I44" authorId="0" shapeId="0" xr:uid="{2EB01C7A-25E9-4A68-A41E-3C802B723266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C45" authorId="0" shapeId="0" xr:uid="{57C09B0B-3CD6-4555-992B-D34A95C9D17B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hearing.</t>
        </r>
      </text>
    </comment>
    <comment ref="I45" authorId="0" shapeId="0" xr:uid="{F6E889A7-BDA6-403E-AF30-BC4F3F605D56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hearing?</t>
        </r>
      </text>
    </comment>
    <comment ref="C46" authorId="0" shapeId="0" xr:uid="{D7628A0E-54B7-4B42-8A6E-1996EA84F88C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I46" authorId="0" shapeId="0" xr:uid="{5C2C1FBF-3564-4238-8E6C-B4E7C12A535B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C47" authorId="0" shapeId="0" xr:uid="{4F0E32E3-1959-4190-9EF7-4645709EDB64}">
      <text>
        <r>
          <rPr>
            <sz val="9"/>
            <color indexed="81"/>
            <rFont val="Tahoma"/>
            <family val="2"/>
          </rPr>
          <t>Was income imputed due to a lack of documentation or inadequate documentation?</t>
        </r>
      </text>
    </comment>
    <comment ref="I47" authorId="0" shapeId="0" xr:uid="{FE453029-C978-4F88-903C-81DB6BE44E0B}">
      <text>
        <r>
          <rPr>
            <sz val="9"/>
            <color indexed="81"/>
            <rFont val="Tahoma"/>
            <family val="2"/>
          </rPr>
          <t xml:space="preserve">Was income imputed due to a lack of documentation or inadequate documentation?
</t>
        </r>
      </text>
    </comment>
  </commentList>
</comments>
</file>

<file path=xl/sharedStrings.xml><?xml version="1.0" encoding="utf-8"?>
<sst xmlns="http://schemas.openxmlformats.org/spreadsheetml/2006/main" count="223" uniqueCount="141">
  <si>
    <t>NET INCOME AVAILABLE</t>
  </si>
  <si>
    <t>Wages</t>
  </si>
  <si>
    <t>2d Job</t>
  </si>
  <si>
    <t>other</t>
  </si>
  <si>
    <t>Mother</t>
  </si>
  <si>
    <t>Deductions</t>
  </si>
  <si>
    <t>Pension</t>
  </si>
  <si>
    <t>Union Dues</t>
  </si>
  <si>
    <t>Disability</t>
  </si>
  <si>
    <t>Health Insurance</t>
  </si>
  <si>
    <t>Self Support Allowance</t>
  </si>
  <si>
    <t>Total</t>
  </si>
  <si>
    <t>PRIMARY</t>
  </si>
  <si>
    <t>Number of children of this union in each home</t>
  </si>
  <si>
    <t>SOLA</t>
  </si>
  <si>
    <t>SOLA %</t>
  </si>
  <si>
    <t>CREDITS</t>
  </si>
  <si>
    <t>B</t>
  </si>
  <si>
    <t>22A</t>
  </si>
  <si>
    <t>C</t>
  </si>
  <si>
    <t>Other</t>
  </si>
  <si>
    <t>Self</t>
  </si>
  <si>
    <t>Primary Support Allowance (Line 10 x</t>
  </si>
  <si>
    <t>+</t>
  </si>
  <si>
    <t>Total Primary Need (Line 11 + Lines 12A, B and C)</t>
  </si>
  <si>
    <t># children</t>
  </si>
  <si>
    <t>each add'l</t>
  </si>
  <si>
    <t>Standard of Living Adjustment</t>
  </si>
  <si>
    <t>A - Parenting Time Percentage (80 - 124 Overnights, 10%; 125-163, 30%)</t>
  </si>
  <si>
    <t>A - Does the parent support children in 3 or more households? (Yes or No)</t>
  </si>
  <si>
    <r>
      <t xml:space="preserve">)   </t>
    </r>
    <r>
      <rPr>
        <b/>
        <sz val="8"/>
        <color theme="1"/>
        <rFont val="Arial"/>
        <family val="2"/>
      </rPr>
      <t>11</t>
    </r>
  </si>
  <si>
    <t>A - Does the parent support other dependent children? (Yes or No)</t>
  </si>
  <si>
    <t>7A</t>
  </si>
  <si>
    <t>16A</t>
  </si>
  <si>
    <r>
      <rPr>
        <b/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 - Standard of Living Percentage (Table)</t>
    </r>
  </si>
  <si>
    <t>18A</t>
  </si>
  <si>
    <r>
      <rPr>
        <b/>
        <sz val="8"/>
        <color theme="1"/>
        <rFont val="Arial"/>
        <family val="2"/>
      </rPr>
      <t xml:space="preserve">18A </t>
    </r>
    <r>
      <rPr>
        <sz val="8"/>
        <color theme="1"/>
        <rFont val="Arial"/>
        <family val="2"/>
      </rPr>
      <t>- SOLA (Line 15 - Line 16B x Line 17)</t>
    </r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</si>
  <si>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Per child SOLA (Line 18A Total / Line 10 Total)</t>
    </r>
  </si>
  <si>
    <t>23A</t>
  </si>
  <si>
    <t>B - Parenting Time Adjustment (Line 22A x other parent's Line 20)</t>
  </si>
  <si>
    <t>Net Income Available for Primary Support (Line 6 x Line 7B)</t>
  </si>
  <si>
    <r>
      <rPr>
        <sz val="8"/>
        <color theme="1"/>
        <rFont val="Arial"/>
        <family val="2"/>
      </rPr>
      <t>)</t>
    </r>
    <r>
      <rPr>
        <b/>
        <sz val="8"/>
        <color theme="1"/>
        <rFont val="Arial"/>
        <family val="2"/>
      </rPr>
      <t xml:space="preserve">    9</t>
    </r>
  </si>
  <si>
    <t>Net Obligation (Line 19 minus Lines 20, 21 and 22B but not more than 23C)</t>
  </si>
  <si>
    <t>Childcare</t>
  </si>
  <si>
    <t>Tuition</t>
  </si>
  <si>
    <t xml:space="preserve">Share of Net Available (Line 8 / Line 8 Total; 50% nonparent override: </t>
  </si>
  <si>
    <t>Major  Medical</t>
  </si>
  <si>
    <t>Dental</t>
  </si>
  <si>
    <t>Vision</t>
  </si>
  <si>
    <t>How many child of this union reside primarily in each household?</t>
  </si>
  <si>
    <t>How many children of this union reside in shared placement?</t>
  </si>
  <si>
    <t>Self employment</t>
  </si>
  <si>
    <t xml:space="preserve"> How many children does this parent visit 80 to 124 overnights?</t>
  </si>
  <si>
    <t>How many children does this parent visit 125 to 163 overnights?</t>
  </si>
  <si>
    <t>Pension $</t>
  </si>
  <si>
    <t>Pension %</t>
  </si>
  <si>
    <t>Income</t>
  </si>
  <si>
    <t>Itemized Primary</t>
  </si>
  <si>
    <t>Weekly</t>
  </si>
  <si>
    <t>Biweekly</t>
  </si>
  <si>
    <t>Monthly</t>
  </si>
  <si>
    <t>Annually</t>
  </si>
  <si>
    <t>Other Children</t>
  </si>
  <si>
    <t>Children of this Union</t>
  </si>
  <si>
    <t xml:space="preserve">Parenting Time Credit </t>
  </si>
  <si>
    <t>(covering these children)</t>
  </si>
  <si>
    <t>Number</t>
  </si>
  <si>
    <t>(NOT on these children)</t>
  </si>
  <si>
    <t>x Wages</t>
  </si>
  <si>
    <t>B - Adjustment for Other Dependents (If Line 7A=Yes, then 70%; otherwise 100%)</t>
  </si>
  <si>
    <t>C - Self Support Protection (Line 8 x Line 23B)</t>
  </si>
  <si>
    <t>A - Childcare for children of this union necessary for parent maintain employment</t>
  </si>
  <si>
    <t>12A</t>
  </si>
  <si>
    <t>Medical</t>
  </si>
  <si>
    <t>C - Health Insurance</t>
  </si>
  <si>
    <t>HI not on child</t>
  </si>
  <si>
    <t>x 75 or 50%</t>
  </si>
  <si>
    <t>+ Dental</t>
  </si>
  <si>
    <t>+ Vision</t>
  </si>
  <si>
    <t>(but not less than 0)</t>
  </si>
  <si>
    <t>Nontax</t>
  </si>
  <si>
    <t>Nontaxable</t>
  </si>
  <si>
    <t>Nontaxable Income Adj. (25% of income exempted by law from Federal income tax)</t>
  </si>
  <si>
    <t>Net Income after Self Support (Line 1 plus Line 2 minus Lines 3, 4 and 5)</t>
  </si>
  <si>
    <r>
      <rPr>
        <b/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 - Net Income Available for SOLA</t>
    </r>
  </si>
  <si>
    <t>Cash Medical Support (Line 9 rounded towards 50% to the next multiple of 10)</t>
  </si>
  <si>
    <t>Primary Support Obligation (Line 9 x Line 13 Total)</t>
  </si>
  <si>
    <t>Gross Obligation (Line 14 plus Line18A)</t>
  </si>
  <si>
    <t>Primary and SOLA retained (Line 10 multiplied by Line 18B plus Line 11)</t>
  </si>
  <si>
    <t>Itemized Primary (Line 12A plus Line 12B plus Line 12C)</t>
  </si>
  <si>
    <t>B - Private School Tuition and Costs / other primary expenses</t>
  </si>
  <si>
    <t>If Line 7A = No, 75%</t>
  </si>
  <si>
    <t>If Yes, then 50%</t>
  </si>
  <si>
    <r>
      <t>Does the</t>
    </r>
    <r>
      <rPr>
        <u/>
        <sz val="9"/>
        <color theme="1"/>
        <rFont val="Arial"/>
        <family val="2"/>
      </rPr>
      <t xml:space="preserve"> parent or guardian</t>
    </r>
    <r>
      <rPr>
        <sz val="9"/>
        <color theme="1"/>
        <rFont val="Arial"/>
        <family val="2"/>
      </rPr>
      <t xml:space="preserve"> support other children?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</si>
  <si>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r>
      <t>Does the parent support children in more than 2 household?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</si>
  <si>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t>Gross Income</t>
  </si>
  <si>
    <t>Petitioner:</t>
  </si>
  <si>
    <t>Respondent:</t>
  </si>
  <si>
    <t>File #:</t>
  </si>
  <si>
    <t>Petition #:</t>
  </si>
  <si>
    <t>Date</t>
  </si>
  <si>
    <t>)    3</t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</si>
  <si>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High Income Offset (30% of Line 16A Total)</t>
    </r>
  </si>
  <si>
    <t>B - Self Support Protection % (If Line 23A = No, then 50%; if Yes, then 35%)</t>
  </si>
  <si>
    <t>Data Collection</t>
  </si>
  <si>
    <t>Actual # of hours worked per week</t>
  </si>
  <si>
    <t>Pay Period</t>
  </si>
  <si>
    <t>Start</t>
  </si>
  <si>
    <t>End</t>
  </si>
  <si>
    <t>Year-To-Date</t>
  </si>
  <si>
    <t>Month</t>
  </si>
  <si>
    <t>Weekly or</t>
  </si>
  <si>
    <t>Day</t>
  </si>
  <si>
    <t>Bi-weekly</t>
  </si>
  <si>
    <t>Year</t>
  </si>
  <si>
    <t xml:space="preserve">Child Support Financial Disclosure (16A) Report? </t>
  </si>
  <si>
    <t xml:space="preserve">Did the party present substantial documentation? </t>
  </si>
  <si>
    <t xml:space="preserve">Was income imputed? </t>
  </si>
  <si>
    <t>Hours/wk</t>
  </si>
  <si>
    <t>Q-DATA</t>
  </si>
  <si>
    <t>INC</t>
  </si>
  <si>
    <t>DIS</t>
  </si>
  <si>
    <t>Incarcerated</t>
  </si>
  <si>
    <t>Disabled</t>
  </si>
  <si>
    <t>0</t>
  </si>
  <si>
    <t>Zero</t>
  </si>
  <si>
    <t>NC</t>
  </si>
  <si>
    <t>CP</t>
  </si>
  <si>
    <t>Minimum Order (1 child =</t>
  </si>
  <si>
    <t>, 2 or more=</t>
  </si>
  <si>
    <t>)</t>
  </si>
  <si>
    <t>Yes</t>
  </si>
  <si>
    <t>No</t>
  </si>
  <si>
    <t>Documentation</t>
  </si>
  <si>
    <t>Imputed Income</t>
  </si>
  <si>
    <t>Low Income Adj.</t>
  </si>
  <si>
    <t>Father</t>
  </si>
  <si>
    <r>
      <rPr>
        <b/>
        <sz val="8"/>
        <color theme="1"/>
        <rFont val="Arial"/>
        <family val="2"/>
      </rPr>
      <t>16A</t>
    </r>
    <r>
      <rPr>
        <sz val="8"/>
        <color theme="1"/>
        <rFont val="Arial"/>
        <family val="2"/>
      </rPr>
      <t>-Line15 - $15,000 but not less than "0"</t>
    </r>
  </si>
  <si>
    <t>DCSS No.:</t>
  </si>
  <si>
    <t>Self-Employment Adjustment (7% of documented SE income up to</t>
  </si>
  <si>
    <t>Warning Prior Year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</si>
</sst>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name val="Arial"/>
      <family val="2"/>
    </font>
    <font>
      <sz val="9"/>
      <name val="Garamond"/>
      <family val="1"/>
    </font>
    <font>
      <b/>
      <sz val="9"/>
      <name val="Garamond"/>
      <family val="1"/>
    </font>
    <font>
      <sz val="9"/>
      <color indexed="81"/>
      <name val="Tahoma"/>
      <family val="2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CEF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0" fontId="2" fillId="0" borderId="14" xfId="0" applyFont="1" applyBorder="1" applyProtection="1"/>
    <xf numFmtId="0" fontId="6" fillId="0" borderId="13" xfId="0" applyFont="1" applyBorder="1" applyAlignment="1" applyProtection="1">
      <alignment horizontal="right" vertical="center"/>
    </xf>
    <xf numFmtId="0" fontId="2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6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9" fontId="6" fillId="0" borderId="2" xfId="1" applyFont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6" fontId="6" fillId="0" borderId="0" xfId="0" applyNumberFormat="1" applyFont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2" fillId="0" borderId="1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9" fontId="2" fillId="0" borderId="0" xfId="1" applyFont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9" fontId="2" fillId="0" borderId="15" xfId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15" xfId="0" applyFont="1" applyBorder="1" applyProtection="1"/>
    <xf numFmtId="0" fontId="6" fillId="0" borderId="8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2" fillId="0" borderId="16" xfId="0" applyFont="1" applyBorder="1" applyProtection="1"/>
    <xf numFmtId="0" fontId="2" fillId="0" borderId="16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6" fontId="6" fillId="0" borderId="2" xfId="0" applyNumberFormat="1" applyFont="1" applyBorder="1" applyAlignment="1" applyProtection="1">
      <alignment horizontal="center" vertical="center"/>
    </xf>
    <xf numFmtId="9" fontId="6" fillId="0" borderId="4" xfId="1" applyFont="1" applyBorder="1" applyAlignment="1" applyProtection="1">
      <alignment horizontal="center" vertical="center"/>
    </xf>
    <xf numFmtId="9" fontId="6" fillId="0" borderId="1" xfId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9" fontId="6" fillId="0" borderId="6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3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/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/>
    <xf numFmtId="0" fontId="7" fillId="3" borderId="11" xfId="0" applyFont="1" applyFill="1" applyBorder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5" fillId="3" borderId="0" xfId="0" applyFont="1" applyFill="1" applyProtection="1"/>
    <xf numFmtId="0" fontId="2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9" fontId="6" fillId="0" borderId="19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5" xfId="0" applyFont="1" applyFill="1" applyBorder="1" applyAlignment="1" applyProtection="1"/>
    <xf numFmtId="0" fontId="2" fillId="0" borderId="15" xfId="0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49" fontId="2" fillId="0" borderId="0" xfId="0" quotePrefix="1" applyNumberFormat="1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/>
    </xf>
    <xf numFmtId="1" fontId="2" fillId="4" borderId="24" xfId="0" applyNumberFormat="1" applyFont="1" applyFill="1" applyBorder="1" applyAlignment="1" applyProtection="1">
      <alignment horizontal="center" vertical="center"/>
      <protection locked="0"/>
    </xf>
    <xf numFmtId="1" fontId="2" fillId="4" borderId="25" xfId="0" applyNumberFormat="1" applyFont="1" applyFill="1" applyBorder="1" applyAlignment="1" applyProtection="1">
      <alignment horizontal="center" vertical="center"/>
      <protection locked="0"/>
    </xf>
    <xf numFmtId="164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top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1" fontId="2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Alignment="1">
      <alignment horizontal="center" vertical="center"/>
    </xf>
    <xf numFmtId="1" fontId="2" fillId="4" borderId="29" xfId="0" applyNumberFormat="1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5" fillId="0" borderId="0" xfId="0" quotePrefix="1" applyFont="1"/>
    <xf numFmtId="2" fontId="5" fillId="0" borderId="0" xfId="0" quotePrefix="1" applyNumberFormat="1" applyFont="1"/>
    <xf numFmtId="0" fontId="2" fillId="0" borderId="16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top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top" wrapText="1"/>
    </xf>
    <xf numFmtId="0" fontId="6" fillId="2" borderId="16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/>
    <xf numFmtId="0" fontId="5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 wrapText="1"/>
    </xf>
    <xf numFmtId="0" fontId="5" fillId="0" borderId="15" xfId="0" applyFont="1" applyBorder="1"/>
    <xf numFmtId="0" fontId="2" fillId="0" borderId="15" xfId="0" applyFont="1" applyBorder="1" applyAlignment="1" applyProtection="1">
      <alignment horizontal="right" wrapText="1"/>
    </xf>
    <xf numFmtId="0" fontId="2" fillId="0" borderId="14" xfId="0" applyFont="1" applyBorder="1" applyAlignment="1" applyProtection="1">
      <alignment horizontal="center" wrapText="1"/>
    </xf>
    <xf numFmtId="0" fontId="2" fillId="3" borderId="16" xfId="0" applyFont="1" applyFill="1" applyBorder="1" applyAlignment="1">
      <alignment horizontal="left" vertical="center"/>
    </xf>
    <xf numFmtId="164" fontId="6" fillId="4" borderId="2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" fontId="2" fillId="5" borderId="24" xfId="0" applyNumberFormat="1" applyFont="1" applyFill="1" applyBorder="1" applyAlignment="1" applyProtection="1">
      <alignment horizontal="center" vertical="center"/>
      <protection locked="0"/>
    </xf>
    <xf numFmtId="1" fontId="2" fillId="5" borderId="25" xfId="0" applyNumberFormat="1" applyFont="1" applyFill="1" applyBorder="1" applyAlignment="1" applyProtection="1">
      <alignment horizontal="center" vertical="center"/>
      <protection locked="0"/>
    </xf>
    <xf numFmtId="164" fontId="6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7" xfId="0" applyNumberFormat="1" applyFont="1" applyFill="1" applyBorder="1" applyAlignment="1" applyProtection="1">
      <alignment horizontal="center" vertical="center"/>
      <protection locked="0"/>
    </xf>
    <xf numFmtId="1" fontId="2" fillId="5" borderId="29" xfId="0" applyNumberFormat="1" applyFont="1" applyFill="1" applyBorder="1" applyAlignment="1" applyProtection="1">
      <alignment horizontal="center" vertical="center"/>
      <protection locked="0"/>
    </xf>
    <xf numFmtId="1" fontId="2" fillId="5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quotePrefix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5" fillId="2" borderId="5" xfId="0" applyFont="1" applyFill="1" applyBorder="1" applyProtection="1"/>
    <xf numFmtId="164" fontId="6" fillId="0" borderId="14" xfId="2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vertical="center" wrapText="1"/>
    </xf>
    <xf numFmtId="164" fontId="6" fillId="0" borderId="14" xfId="0" applyNumberFormat="1" applyFont="1" applyBorder="1" applyAlignment="1" applyProtection="1">
      <alignment horizontal="center" vertical="center" wrapText="1"/>
    </xf>
    <xf numFmtId="9" fontId="6" fillId="5" borderId="1" xfId="0" applyNumberFormat="1" applyFont="1" applyFill="1" applyBorder="1" applyAlignment="1" applyProtection="1">
      <alignment horizontal="center" vertical="center"/>
      <protection locked="0"/>
    </xf>
    <xf numFmtId="9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5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7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164" fontId="6" fillId="2" borderId="23" xfId="0" applyNumberFormat="1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0" xfId="2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0" fontId="2" fillId="0" borderId="16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right" wrapText="1"/>
    </xf>
    <xf numFmtId="0" fontId="2" fillId="0" borderId="13" xfId="0" applyFont="1" applyBorder="1" applyAlignment="1" applyProtection="1">
      <alignment horizontal="right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4" xfId="0" applyFont="1" applyBorder="1" applyAlignment="1" applyProtection="1">
      <alignment horizontal="center" vertical="center" textRotation="90"/>
    </xf>
    <xf numFmtId="0" fontId="6" fillId="0" borderId="12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6" xfId="0" applyFont="1" applyBorder="1" applyAlignment="1" applyProtection="1">
      <alignment horizontal="center" vertical="center" textRotation="9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</xf>
    <xf numFmtId="0" fontId="16" fillId="3" borderId="14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2" fillId="0" borderId="0" xfId="0" applyFont="1"/>
    <xf numFmtId="0" fontId="23" fillId="6" borderId="0" xfId="0" applyFont="1" applyFill="1"/>
    <xf numFmtId="0" fontId="24" fillId="6" borderId="0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8"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EC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3"/>
  <sheetViews>
    <sheetView showGridLines="0" showRowColHeaders="0" showZeros="0" tabSelected="1" showRuler="0" topLeftCell="A2" zoomScaleNormal="100" zoomScalePageLayoutView="80" workbookViewId="0">
      <selection activeCell="D16" sqref="D16"/>
    </sheetView>
  </sheetViews>
  <sheetFormatPr defaultColWidth="9.08984375" defaultRowHeight="12"/>
  <cols>
    <col min="1" max="5" width="9.08984375" style="2"/>
    <col min="6" max="6" width="20.6328125" style="2" customWidth="1"/>
    <col min="7" max="11" width="9.08984375" style="2"/>
    <col min="12" max="12" width="3.453125" style="2" customWidth="1"/>
    <col min="13" max="13" width="3.6328125" style="1" customWidth="1"/>
    <col min="14" max="14" width="11.6328125" style="2" customWidth="1"/>
    <col min="15" max="15" width="9" style="3" customWidth="1"/>
    <col min="16" max="19" width="9" style="2" customWidth="1"/>
    <col min="20" max="20" width="3.453125" style="5" customWidth="1"/>
    <col min="21" max="22" width="9.6328125" style="4" customWidth="1"/>
    <col min="23" max="23" width="9.6328125" style="2" customWidth="1"/>
    <col min="24" max="25" width="9.08984375" style="2"/>
    <col min="26" max="26" width="8.54296875" style="2" hidden="1" customWidth="1"/>
    <col min="27" max="27" width="3.81640625" style="2" hidden="1" customWidth="1"/>
    <col min="28" max="16384" width="9.08984375" style="2"/>
  </cols>
  <sheetData>
    <row r="1" spans="1:27" hidden="1">
      <c r="A1" s="131"/>
    </row>
    <row r="2" spans="1:27" ht="21" customHeight="1">
      <c r="A2" s="46"/>
      <c r="B2" s="48"/>
      <c r="C2" s="215" t="s">
        <v>136</v>
      </c>
      <c r="D2" s="215"/>
      <c r="E2" s="48"/>
      <c r="F2" s="228" t="s">
        <v>140</v>
      </c>
      <c r="G2" s="229"/>
      <c r="H2" s="216" t="s">
        <v>4</v>
      </c>
      <c r="I2" s="216"/>
      <c r="J2" s="48"/>
      <c r="K2" s="46"/>
      <c r="L2" s="221" t="s">
        <v>96</v>
      </c>
      <c r="M2" s="221"/>
      <c r="N2" s="219"/>
      <c r="O2" s="219"/>
      <c r="P2" s="81" t="s">
        <v>97</v>
      </c>
      <c r="Q2" s="219"/>
      <c r="R2" s="219"/>
      <c r="S2" s="82" t="s">
        <v>98</v>
      </c>
      <c r="T2" s="220"/>
      <c r="U2" s="220"/>
      <c r="V2" s="82" t="s">
        <v>99</v>
      </c>
      <c r="W2" s="83"/>
      <c r="X2" s="46"/>
      <c r="Y2" s="46"/>
      <c r="Z2" s="108" t="s">
        <v>125</v>
      </c>
      <c r="AA2" s="107" t="s">
        <v>124</v>
      </c>
    </row>
    <row r="3" spans="1:27" ht="14.4" customHeight="1">
      <c r="A3" s="46"/>
      <c r="B3" s="62" t="s">
        <v>58</v>
      </c>
      <c r="C3" s="62" t="s">
        <v>59</v>
      </c>
      <c r="D3" s="62" t="s">
        <v>60</v>
      </c>
      <c r="E3" s="62" t="s">
        <v>61</v>
      </c>
      <c r="F3" s="59" t="s">
        <v>56</v>
      </c>
      <c r="G3" s="62" t="s">
        <v>58</v>
      </c>
      <c r="H3" s="62" t="s">
        <v>59</v>
      </c>
      <c r="I3" s="62" t="s">
        <v>60</v>
      </c>
      <c r="J3" s="62" t="s">
        <v>61</v>
      </c>
      <c r="K3" s="46"/>
      <c r="L3" s="205" t="s">
        <v>0</v>
      </c>
      <c r="M3" s="77">
        <v>1</v>
      </c>
      <c r="N3" s="78" t="s">
        <v>95</v>
      </c>
      <c r="O3" s="79" t="s">
        <v>1</v>
      </c>
      <c r="P3" s="79" t="s">
        <v>2</v>
      </c>
      <c r="Q3" s="79" t="s">
        <v>20</v>
      </c>
      <c r="R3" s="79" t="s">
        <v>21</v>
      </c>
      <c r="S3" s="85" t="s">
        <v>80</v>
      </c>
      <c r="T3" s="74"/>
      <c r="U3" s="80" t="str">
        <f>C2</f>
        <v>Father</v>
      </c>
      <c r="V3" s="80" t="str">
        <f>H2</f>
        <v>Mother</v>
      </c>
      <c r="W3" s="75" t="s">
        <v>100</v>
      </c>
      <c r="X3" s="46"/>
      <c r="Y3" s="46"/>
      <c r="Z3" s="2" t="s">
        <v>122</v>
      </c>
      <c r="AA3" s="2" t="s">
        <v>120</v>
      </c>
    </row>
    <row r="4" spans="1:27" ht="14.4" customHeight="1">
      <c r="A4" s="46"/>
      <c r="B4" s="159"/>
      <c r="C4" s="160"/>
      <c r="D4" s="161"/>
      <c r="E4" s="162"/>
      <c r="F4" s="50">
        <v>0</v>
      </c>
      <c r="G4" s="163"/>
      <c r="H4" s="164"/>
      <c r="I4" s="165"/>
      <c r="J4" s="166"/>
      <c r="K4" s="46"/>
      <c r="L4" s="206"/>
      <c r="M4" s="10"/>
      <c r="N4" s="69" t="str">
        <f>U3</f>
        <v>Father</v>
      </c>
      <c r="O4" s="170">
        <f>ROUND((B4*4.333)+(C4*2.167)+D4+(E4/12)+E13,0)</f>
        <v>0</v>
      </c>
      <c r="P4" s="170">
        <f>ROUND((B5*4.333)+(C5*2.167)+D5+(E5/12),0)</f>
        <v>0</v>
      </c>
      <c r="Q4" s="170">
        <f>ROUND((B6*4.333)+(C6*2.167)+D6+(E6/12),0)</f>
        <v>0</v>
      </c>
      <c r="R4" s="170">
        <f>ROUND((B7*4.333)+(C7*2.167)+D7+(E7/12),0)</f>
        <v>0</v>
      </c>
      <c r="S4" s="170">
        <f>ROUND((B8*4.333)+(C8*2.167)+D8+(E8/12),0)</f>
        <v>0</v>
      </c>
      <c r="T4" s="210">
        <v>1</v>
      </c>
      <c r="U4" s="168">
        <f>P4+Q4+R4+S4+O4</f>
        <v>0</v>
      </c>
      <c r="V4" s="12"/>
      <c r="W4" s="76">
        <f ca="1">TODAY()</f>
        <v>45689</v>
      </c>
      <c r="X4" s="46"/>
      <c r="Y4" s="46"/>
      <c r="Z4" s="2" t="s">
        <v>123</v>
      </c>
      <c r="AA4" s="2" t="s">
        <v>121</v>
      </c>
    </row>
    <row r="5" spans="1:27" ht="14.4" customHeight="1">
      <c r="A5" s="46"/>
      <c r="B5" s="159"/>
      <c r="C5" s="160"/>
      <c r="D5" s="161"/>
      <c r="E5" s="162"/>
      <c r="F5" s="50" t="s">
        <v>2</v>
      </c>
      <c r="G5" s="163"/>
      <c r="H5" s="164"/>
      <c r="I5" s="165"/>
      <c r="J5" s="166"/>
      <c r="K5" s="46"/>
      <c r="L5" s="206"/>
      <c r="M5" s="10"/>
      <c r="N5" s="69" t="str">
        <f>V3</f>
        <v>Mother</v>
      </c>
      <c r="O5" s="170">
        <f>ROUND((G4*4.333)+(H4*2.167)+I4+(J4/12)+J13,0)</f>
        <v>0</v>
      </c>
      <c r="P5" s="170">
        <f>ROUND((G5*4.333)+(H5*2.167)+I5+(J5/12),0)</f>
        <v>0</v>
      </c>
      <c r="Q5" s="170">
        <f>ROUND((G6*4.333)+(H6*2.167)+I6+(J6/12),0)</f>
        <v>0</v>
      </c>
      <c r="R5" s="170">
        <f>ROUND((G7*4.333)+(H7*2.167)+I7+(J7/12),0)</f>
        <v>0</v>
      </c>
      <c r="S5" s="170">
        <f>ROUND((G8*4.333)+(H8*2.167)+I8+(J8/12),0)</f>
        <v>0</v>
      </c>
      <c r="T5" s="210"/>
      <c r="U5" s="89"/>
      <c r="V5" s="169">
        <f>P5+Q5+R5+S5+O5</f>
        <v>0</v>
      </c>
      <c r="W5" s="9"/>
      <c r="X5" s="46"/>
      <c r="Y5" s="46"/>
      <c r="Z5" s="2">
        <v>1</v>
      </c>
      <c r="AA5" s="2">
        <v>1</v>
      </c>
    </row>
    <row r="6" spans="1:27" ht="14.4" customHeight="1">
      <c r="A6" s="224" t="str">
        <f>IF(U7&lt;&gt;0, "Self Employment Documents Required", "")</f>
        <v/>
      </c>
      <c r="B6" s="159"/>
      <c r="C6" s="160"/>
      <c r="D6" s="161"/>
      <c r="E6" s="162"/>
      <c r="F6" s="50" t="s">
        <v>3</v>
      </c>
      <c r="G6" s="163"/>
      <c r="H6" s="164"/>
      <c r="I6" s="165"/>
      <c r="J6" s="166"/>
      <c r="K6" s="224" t="str">
        <f>IF(V7&lt;&gt;0, "Self Employment Documents Required", "")</f>
        <v/>
      </c>
      <c r="L6" s="206"/>
      <c r="M6" s="10">
        <v>2</v>
      </c>
      <c r="N6" s="43" t="s">
        <v>82</v>
      </c>
      <c r="O6" s="69"/>
      <c r="P6" s="14"/>
      <c r="Q6" s="14"/>
      <c r="R6" s="14"/>
      <c r="S6" s="14"/>
      <c r="T6" s="11">
        <v>2</v>
      </c>
      <c r="U6" s="171">
        <f>ROUND(S4*0.25,0)</f>
        <v>0</v>
      </c>
      <c r="V6" s="169">
        <f>ROUND(S5*0.25,0)</f>
        <v>0</v>
      </c>
      <c r="W6" s="9"/>
      <c r="X6" s="46"/>
      <c r="Y6" s="46"/>
      <c r="Z6" s="2">
        <v>2</v>
      </c>
      <c r="AA6" s="2">
        <v>2</v>
      </c>
    </row>
    <row r="7" spans="1:27" ht="14.4" customHeight="1">
      <c r="A7" s="224"/>
      <c r="B7" s="159"/>
      <c r="C7" s="160"/>
      <c r="D7" s="161"/>
      <c r="E7" s="162"/>
      <c r="F7" s="50" t="s">
        <v>51</v>
      </c>
      <c r="G7" s="163"/>
      <c r="H7" s="164"/>
      <c r="I7" s="165"/>
      <c r="J7" s="166"/>
      <c r="K7" s="224"/>
      <c r="L7" s="206"/>
      <c r="M7" s="10">
        <v>3</v>
      </c>
      <c r="N7" s="217" t="s">
        <v>139</v>
      </c>
      <c r="O7" s="217"/>
      <c r="P7" s="217"/>
      <c r="Q7" s="217"/>
      <c r="R7" s="217"/>
      <c r="S7" s="183">
        <v>14050</v>
      </c>
      <c r="T7" s="11" t="s">
        <v>101</v>
      </c>
      <c r="U7" s="172">
        <f>MAX(0,MIN(R4*0.07,(S7-P4-Q4)*0.07))</f>
        <v>0</v>
      </c>
      <c r="V7" s="169">
        <f>MAX(0,MIN(R5*0.07,(R5-P5-Q5)*0.07))</f>
        <v>0</v>
      </c>
      <c r="X7" s="46"/>
      <c r="Y7" s="46"/>
      <c r="Z7" s="2">
        <v>3</v>
      </c>
      <c r="AA7" s="2">
        <v>3</v>
      </c>
    </row>
    <row r="8" spans="1:27" ht="14.4" customHeight="1">
      <c r="A8" s="224"/>
      <c r="B8" s="159"/>
      <c r="C8" s="160"/>
      <c r="D8" s="161"/>
      <c r="E8" s="162"/>
      <c r="F8" s="50" t="s">
        <v>81</v>
      </c>
      <c r="G8" s="163"/>
      <c r="H8" s="164"/>
      <c r="I8" s="165"/>
      <c r="J8" s="166"/>
      <c r="K8" s="224"/>
      <c r="L8" s="206"/>
      <c r="M8" s="10">
        <v>4</v>
      </c>
      <c r="N8" s="43" t="s">
        <v>5</v>
      </c>
      <c r="O8" s="45" t="s">
        <v>6</v>
      </c>
      <c r="P8" s="45" t="s">
        <v>7</v>
      </c>
      <c r="Q8" s="45" t="s">
        <v>8</v>
      </c>
      <c r="R8" s="45" t="s">
        <v>3</v>
      </c>
      <c r="S8" s="212" t="s">
        <v>75</v>
      </c>
      <c r="T8" s="213"/>
      <c r="U8" s="13"/>
      <c r="V8" s="12"/>
      <c r="W8" s="9"/>
      <c r="X8" s="46"/>
      <c r="Y8" s="46"/>
      <c r="Z8" s="2">
        <v>4</v>
      </c>
      <c r="AA8" s="2">
        <v>4</v>
      </c>
    </row>
    <row r="9" spans="1:27" ht="14.4" customHeight="1">
      <c r="A9" s="46"/>
      <c r="B9" s="222" t="s">
        <v>106</v>
      </c>
      <c r="C9" s="222"/>
      <c r="D9" s="91"/>
      <c r="E9" s="92"/>
      <c r="F9" s="93"/>
      <c r="G9" s="222" t="s">
        <v>106</v>
      </c>
      <c r="H9" s="222"/>
      <c r="I9" s="91"/>
      <c r="J9" s="91"/>
      <c r="K9" s="46"/>
      <c r="L9" s="206"/>
      <c r="M9" s="10"/>
      <c r="N9" s="69" t="str">
        <f>U3</f>
        <v>Father</v>
      </c>
      <c r="O9" s="170">
        <f>ROUND((B15*4.333)+(C15*2.167)+D15+(E15/12)+D16*O4,0)</f>
        <v>0</v>
      </c>
      <c r="P9" s="170">
        <f>ROUND((B17*4.333)+(C17*2.167)+D17+(E17/12),0)</f>
        <v>0</v>
      </c>
      <c r="Q9" s="170">
        <f>ROUND((B18*4.333)+(C18*2.167)+D18+(E18/12),0)</f>
        <v>0</v>
      </c>
      <c r="R9" s="170">
        <f>ROUND((B19*4.333)+(C19*2.167)+D19+(E19/12),0)</f>
        <v>0</v>
      </c>
      <c r="S9" s="170">
        <f>ROUND(((B22+B23+B24)*4.333)+((C22+C23+C24)*2.167)+D22+D23+D24+((E22+E23+E24)/12),0)</f>
        <v>0</v>
      </c>
      <c r="T9" s="210">
        <v>4</v>
      </c>
      <c r="U9" s="169">
        <f>P9+Q9+R9+S9+O9</f>
        <v>0</v>
      </c>
      <c r="V9" s="12"/>
      <c r="X9" s="46"/>
      <c r="Y9" s="46"/>
      <c r="Z9" s="2">
        <v>5</v>
      </c>
      <c r="AA9" s="2">
        <v>5</v>
      </c>
    </row>
    <row r="10" spans="1:27" ht="14.4" customHeight="1" thickBot="1">
      <c r="A10" s="46"/>
      <c r="B10" s="141" t="s">
        <v>59</v>
      </c>
      <c r="C10" s="90" t="s">
        <v>107</v>
      </c>
      <c r="D10" s="90" t="s">
        <v>108</v>
      </c>
      <c r="E10" s="62" t="s">
        <v>11</v>
      </c>
      <c r="F10" s="94" t="s">
        <v>109</v>
      </c>
      <c r="G10" s="66" t="s">
        <v>59</v>
      </c>
      <c r="H10" s="90" t="s">
        <v>107</v>
      </c>
      <c r="I10" s="90" t="s">
        <v>108</v>
      </c>
      <c r="J10" s="62" t="s">
        <v>11</v>
      </c>
      <c r="K10" s="46"/>
      <c r="L10" s="206"/>
      <c r="M10" s="10"/>
      <c r="N10" s="69" t="str">
        <f>V3</f>
        <v>Mother</v>
      </c>
      <c r="O10" s="170">
        <f>ROUND((G15*4.333)+(H15*2.167)+I15+(J15/12)+I16*O5,0)</f>
        <v>0</v>
      </c>
      <c r="P10" s="170">
        <f>ROUND((G17*4.333)+(H17*2.167)+I17+(J17/12),0)</f>
        <v>0</v>
      </c>
      <c r="Q10" s="170">
        <f>ROUND((G18*4.333)+(H18*2.167)+I18+(J18/12),0)</f>
        <v>0</v>
      </c>
      <c r="R10" s="170">
        <f>ROUND((G19*4.333)+(H19*2.167)+I19+(J19/12),0)</f>
        <v>0</v>
      </c>
      <c r="S10" s="170">
        <f>ROUND(((G22+G23+G24)*4.333)+((H22+H23+H24)*2.167)+I22+I23+I24+((J22+J23+J24)/12),0)</f>
        <v>0</v>
      </c>
      <c r="T10" s="210"/>
      <c r="U10" s="13"/>
      <c r="V10" s="169">
        <f>P10+Q10+R10+S10+O10</f>
        <v>0</v>
      </c>
      <c r="X10" s="46"/>
      <c r="Y10" s="46"/>
      <c r="Z10" s="2">
        <v>6</v>
      </c>
      <c r="AA10" s="2">
        <v>6</v>
      </c>
    </row>
    <row r="11" spans="1:27" ht="14.4" customHeight="1">
      <c r="A11" s="46"/>
      <c r="B11" s="95" t="s">
        <v>110</v>
      </c>
      <c r="C11" s="142">
        <v>1</v>
      </c>
      <c r="D11" s="143"/>
      <c r="E11" s="144"/>
      <c r="F11" s="90" t="s">
        <v>111</v>
      </c>
      <c r="G11" s="95" t="s">
        <v>110</v>
      </c>
      <c r="H11" s="96">
        <v>1</v>
      </c>
      <c r="I11" s="97"/>
      <c r="J11" s="98"/>
      <c r="K11" s="46"/>
      <c r="L11" s="206"/>
      <c r="M11" s="10">
        <v>5</v>
      </c>
      <c r="N11" s="43" t="s">
        <v>10</v>
      </c>
      <c r="O11" s="69"/>
      <c r="P11" s="9"/>
      <c r="Q11" s="9"/>
      <c r="R11" s="9"/>
      <c r="S11" s="9"/>
      <c r="T11" s="11">
        <v>5</v>
      </c>
      <c r="U11" s="15">
        <v>1510</v>
      </c>
      <c r="V11" s="15">
        <v>1510</v>
      </c>
      <c r="W11" s="9"/>
      <c r="X11" s="46"/>
      <c r="Y11" s="46"/>
      <c r="Z11" s="2">
        <v>7</v>
      </c>
      <c r="AA11" s="2">
        <v>7</v>
      </c>
    </row>
    <row r="12" spans="1:27" ht="14.4" customHeight="1">
      <c r="A12" s="46"/>
      <c r="B12" s="95" t="s">
        <v>112</v>
      </c>
      <c r="C12" s="145">
        <v>1</v>
      </c>
      <c r="D12" s="146"/>
      <c r="E12" s="99" t="s">
        <v>60</v>
      </c>
      <c r="F12" s="100" t="s">
        <v>113</v>
      </c>
      <c r="G12" s="95" t="s">
        <v>112</v>
      </c>
      <c r="H12" s="101">
        <v>1</v>
      </c>
      <c r="I12" s="102"/>
      <c r="J12" s="99" t="s">
        <v>60</v>
      </c>
      <c r="K12" s="46"/>
      <c r="L12" s="206"/>
      <c r="M12" s="10">
        <v>6</v>
      </c>
      <c r="N12" s="43" t="s">
        <v>83</v>
      </c>
      <c r="O12" s="69"/>
      <c r="P12" s="9"/>
      <c r="Q12" s="9"/>
      <c r="R12" s="9"/>
      <c r="S12" s="9"/>
      <c r="T12" s="11">
        <v>6</v>
      </c>
      <c r="U12" s="38">
        <f>MAX(0,U4+U6-U7-U9-U11)</f>
        <v>0</v>
      </c>
      <c r="V12" s="38">
        <f>MAX(0,V5+V6-V7-V10-V11)</f>
        <v>0</v>
      </c>
      <c r="W12" s="9"/>
      <c r="X12" s="46"/>
      <c r="Y12" s="46"/>
      <c r="Z12" s="2">
        <v>8</v>
      </c>
      <c r="AA12" s="2">
        <v>8</v>
      </c>
    </row>
    <row r="13" spans="1:27" ht="14.4" customHeight="1" thickBot="1">
      <c r="A13" s="46"/>
      <c r="B13" s="95" t="s">
        <v>114</v>
      </c>
      <c r="C13" s="147">
        <v>2024</v>
      </c>
      <c r="D13" s="148">
        <v>2024</v>
      </c>
      <c r="E13" s="140">
        <f>IF(E11=0,0,E11/ROUNDUP((DATE(D13,D11,D12)-DATE(C13,C11,C12))/IF(B10="biweekly",14,7),0)*IF(B10="Biweekly",2.1666666,4.33333))</f>
        <v>0</v>
      </c>
      <c r="F13" s="103"/>
      <c r="G13" s="95" t="s">
        <v>114</v>
      </c>
      <c r="H13" s="104">
        <v>2024</v>
      </c>
      <c r="I13" s="105">
        <v>2024</v>
      </c>
      <c r="J13" s="138">
        <f>IF(J11=0,0,J11/ROUNDUP((DATE(I13,I11,I12)-DATE(H13,H11,H12))/IF(G10="biweekly",14,7),0)*IF(G10="Biweekly",2.1666666,4.33333))</f>
        <v>0</v>
      </c>
      <c r="K13" s="46"/>
      <c r="L13" s="206"/>
      <c r="M13" s="10">
        <v>7</v>
      </c>
      <c r="N13" s="43" t="s">
        <v>31</v>
      </c>
      <c r="O13" s="69"/>
      <c r="P13" s="9"/>
      <c r="Q13" s="9"/>
      <c r="R13" s="9"/>
      <c r="S13" s="9"/>
      <c r="T13" s="11" t="s">
        <v>32</v>
      </c>
      <c r="U13" s="44" t="str">
        <f>IF(C35="y","Yes","No")</f>
        <v>No</v>
      </c>
      <c r="V13" s="44" t="str">
        <f>IF(I35="y","Yes","No")</f>
        <v>No</v>
      </c>
      <c r="W13" s="9"/>
      <c r="X13" s="46"/>
      <c r="Y13" s="46"/>
      <c r="Z13" s="2">
        <v>9</v>
      </c>
      <c r="AA13" s="2">
        <v>9</v>
      </c>
    </row>
    <row r="14" spans="1:27" ht="14.4" customHeight="1">
      <c r="A14" s="225" t="str">
        <f>IF(O9&gt;(O4+P4+Q4)*0.05, "Pension &gt;5% of Line 1 Income", "")</f>
        <v/>
      </c>
      <c r="B14" s="62" t="s">
        <v>58</v>
      </c>
      <c r="C14" s="62" t="s">
        <v>59</v>
      </c>
      <c r="D14" s="62" t="s">
        <v>60</v>
      </c>
      <c r="E14" s="62" t="s">
        <v>61</v>
      </c>
      <c r="F14" s="60" t="s">
        <v>5</v>
      </c>
      <c r="G14" s="62" t="s">
        <v>58</v>
      </c>
      <c r="H14" s="62" t="s">
        <v>59</v>
      </c>
      <c r="I14" s="63" t="s">
        <v>60</v>
      </c>
      <c r="J14" s="62" t="s">
        <v>61</v>
      </c>
      <c r="K14" s="226" t="str">
        <f>IF(O10&gt;(O5+P5+Q5)*0.05, "Pension &gt;5% of Line 1 Income", "")</f>
        <v/>
      </c>
      <c r="L14" s="206"/>
      <c r="M14" s="10"/>
      <c r="N14" s="43" t="s">
        <v>69</v>
      </c>
      <c r="O14" s="69"/>
      <c r="P14" s="9"/>
      <c r="Q14" s="9"/>
      <c r="R14" s="9"/>
      <c r="S14" s="9"/>
      <c r="T14" s="11" t="s">
        <v>17</v>
      </c>
      <c r="U14" s="39">
        <f>IF(U13="Yes",70%,100%)</f>
        <v>1</v>
      </c>
      <c r="V14" s="39">
        <f>IF(V13="Yes",70%,100%)</f>
        <v>1</v>
      </c>
      <c r="W14" s="16" t="s">
        <v>11</v>
      </c>
      <c r="X14" s="46"/>
      <c r="Y14" s="46"/>
      <c r="Z14" s="2">
        <v>10</v>
      </c>
      <c r="AA14" s="2">
        <v>10</v>
      </c>
    </row>
    <row r="15" spans="1:27" ht="14.4" customHeight="1">
      <c r="A15" s="225"/>
      <c r="B15" s="159"/>
      <c r="C15" s="159"/>
      <c r="D15" s="159"/>
      <c r="E15" s="159"/>
      <c r="F15" s="50" t="s">
        <v>54</v>
      </c>
      <c r="G15" s="163"/>
      <c r="H15" s="164"/>
      <c r="I15" s="165"/>
      <c r="J15" s="166"/>
      <c r="K15" s="226"/>
      <c r="L15" s="214"/>
      <c r="M15" s="10">
        <v>8</v>
      </c>
      <c r="N15" s="43" t="s">
        <v>40</v>
      </c>
      <c r="O15" s="69"/>
      <c r="P15" s="9"/>
      <c r="Q15" s="9"/>
      <c r="R15" s="9"/>
      <c r="S15" s="9"/>
      <c r="T15" s="11">
        <v>8</v>
      </c>
      <c r="U15" s="169">
        <f>ROUND(U12*U14,0)</f>
        <v>0</v>
      </c>
      <c r="V15" s="169">
        <f>ROUND(V12*V14,0)</f>
        <v>0</v>
      </c>
      <c r="W15" s="169">
        <f>U15+V15</f>
        <v>0</v>
      </c>
      <c r="X15" s="46"/>
      <c r="Y15" s="46"/>
      <c r="Z15" s="2">
        <v>11</v>
      </c>
      <c r="AA15" s="2">
        <v>11</v>
      </c>
    </row>
    <row r="16" spans="1:27" ht="14.4" customHeight="1">
      <c r="A16" s="225"/>
      <c r="B16" s="64"/>
      <c r="C16" s="65"/>
      <c r="D16" s="157"/>
      <c r="E16" s="67" t="s">
        <v>68</v>
      </c>
      <c r="F16" s="50" t="s">
        <v>55</v>
      </c>
      <c r="G16" s="64"/>
      <c r="H16" s="64"/>
      <c r="I16" s="158"/>
      <c r="J16" s="137" t="s">
        <v>68</v>
      </c>
      <c r="K16" s="226"/>
      <c r="L16" s="205" t="s">
        <v>12</v>
      </c>
      <c r="M16" s="6">
        <v>9</v>
      </c>
      <c r="N16" s="218" t="s">
        <v>45</v>
      </c>
      <c r="O16" s="218"/>
      <c r="P16" s="218"/>
      <c r="Q16" s="218"/>
      <c r="R16" s="218"/>
      <c r="S16" s="72">
        <f>ABS(IF(C2="Guardian",0.5,0)-IF(H2="Guardian",0.5,0))</f>
        <v>0</v>
      </c>
      <c r="T16" s="8" t="s">
        <v>41</v>
      </c>
      <c r="U16" s="17">
        <f>IF(S16=0,ROUND(IF(U15=0,0,U15/W15),2),S16)</f>
        <v>0</v>
      </c>
      <c r="V16" s="17">
        <f>IF(S16=0,ROUND(IF(V15=0,0,V15/W15),2),S16)</f>
        <v>0</v>
      </c>
      <c r="W16" s="18">
        <v>1</v>
      </c>
      <c r="X16" s="46"/>
      <c r="Y16" s="46"/>
      <c r="Z16" s="2">
        <v>12</v>
      </c>
      <c r="AA16" s="2">
        <v>12</v>
      </c>
    </row>
    <row r="17" spans="1:28" ht="14.4" customHeight="1">
      <c r="A17" s="46"/>
      <c r="B17" s="159"/>
      <c r="C17" s="160"/>
      <c r="D17" s="161"/>
      <c r="E17" s="162"/>
      <c r="F17" s="50" t="s">
        <v>7</v>
      </c>
      <c r="G17" s="163"/>
      <c r="H17" s="164"/>
      <c r="I17" s="165"/>
      <c r="J17" s="166"/>
      <c r="K17" s="46"/>
      <c r="L17" s="206"/>
      <c r="M17" s="10">
        <v>10</v>
      </c>
      <c r="N17" s="43" t="s">
        <v>13</v>
      </c>
      <c r="O17" s="69"/>
      <c r="P17" s="9"/>
      <c r="Q17" s="9"/>
      <c r="R17" s="9"/>
      <c r="S17" s="9"/>
      <c r="T17" s="11">
        <v>10</v>
      </c>
      <c r="U17" s="44">
        <f>C38+(C39/2)</f>
        <v>0</v>
      </c>
      <c r="V17" s="44">
        <f>I38+(C39/2)</f>
        <v>0</v>
      </c>
      <c r="W17" s="41">
        <f>U17+V17</f>
        <v>0</v>
      </c>
      <c r="X17" s="46"/>
      <c r="Y17" s="46"/>
      <c r="Z17" s="2">
        <v>13</v>
      </c>
      <c r="AA17" s="2">
        <v>13</v>
      </c>
      <c r="AB17" s="227"/>
    </row>
    <row r="18" spans="1:28" ht="14.4" customHeight="1">
      <c r="A18" s="46"/>
      <c r="B18" s="159"/>
      <c r="C18" s="160"/>
      <c r="D18" s="161"/>
      <c r="E18" s="162"/>
      <c r="F18" s="50" t="s">
        <v>8</v>
      </c>
      <c r="G18" s="163"/>
      <c r="H18" s="164"/>
      <c r="I18" s="165"/>
      <c r="J18" s="166"/>
      <c r="K18" s="46"/>
      <c r="L18" s="206"/>
      <c r="M18" s="10">
        <v>11</v>
      </c>
      <c r="N18" s="43" t="s">
        <v>22</v>
      </c>
      <c r="O18" s="69"/>
      <c r="P18" s="69"/>
      <c r="Q18" s="19">
        <f>ROUND((U11*0.25)+20,-1)</f>
        <v>400</v>
      </c>
      <c r="R18" s="20" t="s">
        <v>23</v>
      </c>
      <c r="S18" s="19">
        <f>ROUND(V11*0.25-25,-1)</f>
        <v>350</v>
      </c>
      <c r="T18" s="69" t="s">
        <v>30</v>
      </c>
      <c r="U18" s="173">
        <f>IF(U17=0,0,U17*Q18+S18)</f>
        <v>0</v>
      </c>
      <c r="V18" s="173">
        <f>IF(V17=0,0,V17*Q18+S18)</f>
        <v>0</v>
      </c>
      <c r="W18" s="6"/>
      <c r="X18" s="46"/>
      <c r="Y18" s="46"/>
      <c r="Z18" s="2">
        <v>14</v>
      </c>
      <c r="AA18" s="2">
        <v>14</v>
      </c>
    </row>
    <row r="19" spans="1:28" ht="14.4" customHeight="1">
      <c r="A19" s="46"/>
      <c r="B19" s="159"/>
      <c r="C19" s="160"/>
      <c r="D19" s="161"/>
      <c r="E19" s="162"/>
      <c r="F19" s="50" t="s">
        <v>3</v>
      </c>
      <c r="G19" s="163"/>
      <c r="H19" s="164"/>
      <c r="I19" s="165"/>
      <c r="J19" s="166"/>
      <c r="K19" s="46"/>
      <c r="L19" s="206"/>
      <c r="M19" s="10">
        <v>12</v>
      </c>
      <c r="N19" s="43" t="s">
        <v>71</v>
      </c>
      <c r="O19" s="69"/>
      <c r="P19" s="69"/>
      <c r="Q19" s="19"/>
      <c r="R19" s="20"/>
      <c r="S19" s="19"/>
      <c r="T19" s="11" t="s">
        <v>72</v>
      </c>
      <c r="U19" s="169">
        <f>ROUND((B31*4.333)+(C31*2.167)+D31+(E31/12),0)</f>
        <v>0</v>
      </c>
      <c r="V19" s="169">
        <f>ROUND((G31*4.333)+(H31*2.167)+I31+(J31/12),0)</f>
        <v>0</v>
      </c>
      <c r="W19" s="70"/>
      <c r="X19" s="46"/>
      <c r="Y19" s="46"/>
      <c r="Z19" s="2">
        <v>15</v>
      </c>
      <c r="AA19" s="2">
        <v>15</v>
      </c>
    </row>
    <row r="20" spans="1:28" ht="14.4" customHeight="1">
      <c r="A20" s="46"/>
      <c r="B20" s="51"/>
      <c r="C20" s="51"/>
      <c r="D20" s="51"/>
      <c r="E20" s="51"/>
      <c r="F20" s="59" t="s">
        <v>9</v>
      </c>
      <c r="G20" s="51"/>
      <c r="H20" s="51"/>
      <c r="I20" s="51"/>
      <c r="J20" s="51"/>
      <c r="K20" s="46"/>
      <c r="L20" s="206"/>
      <c r="M20" s="10"/>
      <c r="N20" s="43" t="s">
        <v>90</v>
      </c>
      <c r="O20" s="69"/>
      <c r="P20" s="69"/>
      <c r="Q20" s="19"/>
      <c r="R20" s="20"/>
      <c r="S20" s="19"/>
      <c r="T20" s="11" t="s">
        <v>17</v>
      </c>
      <c r="U20" s="169">
        <f>ROUND((B32*4.333)+(C32*2.167)+D32+(E32/12)+(B33*4.333)+(C33*2.167)+D33+(E33/12),0)</f>
        <v>0</v>
      </c>
      <c r="V20" s="169">
        <f>ROUND((G32*4.333)+(H32*2.167)+I32+(J32/12)+(G33*4.333)+(H33*2.167)+I33+(J33/12),0)</f>
        <v>0</v>
      </c>
      <c r="W20" s="70"/>
      <c r="X20" s="46"/>
      <c r="Y20" s="46"/>
      <c r="Z20" s="2">
        <v>16</v>
      </c>
      <c r="AA20" s="2">
        <v>16</v>
      </c>
    </row>
    <row r="21" spans="1:28" ht="14.4" customHeight="1">
      <c r="A21" s="46"/>
      <c r="B21" s="62" t="s">
        <v>58</v>
      </c>
      <c r="C21" s="62" t="s">
        <v>59</v>
      </c>
      <c r="D21" s="62" t="s">
        <v>60</v>
      </c>
      <c r="E21" s="62" t="s">
        <v>61</v>
      </c>
      <c r="F21" s="52" t="s">
        <v>67</v>
      </c>
      <c r="G21" s="62" t="s">
        <v>58</v>
      </c>
      <c r="H21" s="62" t="s">
        <v>59</v>
      </c>
      <c r="I21" s="62" t="s">
        <v>60</v>
      </c>
      <c r="J21" s="62" t="s">
        <v>61</v>
      </c>
      <c r="K21" s="46"/>
      <c r="L21" s="206"/>
      <c r="M21" s="71"/>
      <c r="N21" s="43" t="s">
        <v>74</v>
      </c>
      <c r="O21" s="69"/>
      <c r="P21" s="79" t="s">
        <v>73</v>
      </c>
      <c r="Q21" s="86" t="s">
        <v>77</v>
      </c>
      <c r="R21" s="87" t="s">
        <v>78</v>
      </c>
      <c r="S21" s="79" t="s">
        <v>76</v>
      </c>
      <c r="T21" s="11"/>
      <c r="U21" s="174"/>
      <c r="V21" s="175"/>
      <c r="W21" s="9"/>
      <c r="X21" s="46"/>
      <c r="Y21" s="46"/>
      <c r="Z21" s="2">
        <v>17</v>
      </c>
      <c r="AA21" s="2">
        <v>17</v>
      </c>
    </row>
    <row r="22" spans="1:28" ht="14.4" customHeight="1">
      <c r="A22" s="46"/>
      <c r="B22" s="159"/>
      <c r="C22" s="160"/>
      <c r="D22" s="161"/>
      <c r="E22" s="162"/>
      <c r="F22" s="50" t="s">
        <v>46</v>
      </c>
      <c r="G22" s="163"/>
      <c r="H22" s="164"/>
      <c r="I22" s="165"/>
      <c r="J22" s="166"/>
      <c r="K22" s="46"/>
      <c r="L22" s="206"/>
      <c r="M22" s="202" t="s">
        <v>91</v>
      </c>
      <c r="N22" s="203"/>
      <c r="O22" s="88" t="str">
        <f>U3</f>
        <v>Father</v>
      </c>
      <c r="P22" s="170">
        <f>ROUND((B27*4.333)+(C27*2.167)+D27+(E27/12),0)</f>
        <v>0</v>
      </c>
      <c r="Q22" s="170">
        <f>ROUND((B28*4.333)+(C28*2.167)+D28+(E28/12),0)</f>
        <v>0</v>
      </c>
      <c r="R22" s="170">
        <f>ROUND((B29*4.333)+(C29*2.167)+D29+(E29/12),0)</f>
        <v>0</v>
      </c>
      <c r="S22" s="72">
        <f>IF(U13="Yes",0.5,0.75)</f>
        <v>0.75</v>
      </c>
      <c r="T22" s="211" t="s">
        <v>19</v>
      </c>
      <c r="U22" s="170">
        <f>ROUND((P22+Q22+R22)*S22,0)</f>
        <v>0</v>
      </c>
      <c r="V22" s="176"/>
      <c r="W22" s="9"/>
      <c r="X22" s="46"/>
      <c r="Y22" s="46"/>
      <c r="Z22" s="2">
        <v>18</v>
      </c>
      <c r="AA22" s="2">
        <v>18</v>
      </c>
    </row>
    <row r="23" spans="1:28" ht="14.4" customHeight="1">
      <c r="A23" s="46"/>
      <c r="B23" s="159"/>
      <c r="C23" s="160"/>
      <c r="D23" s="161"/>
      <c r="E23" s="162"/>
      <c r="F23" s="50" t="s">
        <v>47</v>
      </c>
      <c r="G23" s="163"/>
      <c r="H23" s="164"/>
      <c r="I23" s="165"/>
      <c r="J23" s="166"/>
      <c r="K23" s="46"/>
      <c r="L23" s="206"/>
      <c r="M23" s="202" t="s">
        <v>92</v>
      </c>
      <c r="N23" s="204"/>
      <c r="O23" s="88" t="str">
        <f>V3</f>
        <v>Mother</v>
      </c>
      <c r="P23" s="170">
        <f>ROUND((G27*4.333)+(H27*2.167)+I27+(J27/12),0)</f>
        <v>0</v>
      </c>
      <c r="Q23" s="170">
        <f>ROUND((G28*4.333)+(H28*2.167)+I28+(J28/12),0)</f>
        <v>0</v>
      </c>
      <c r="R23" s="170">
        <f>ROUND((G29*4.333)+(H29*2.167)+I29+(J29/12),0)</f>
        <v>0</v>
      </c>
      <c r="S23" s="72">
        <f>IF(V13="Yes",0.5,0.75)</f>
        <v>0.75</v>
      </c>
      <c r="T23" s="211"/>
      <c r="U23" s="176"/>
      <c r="V23" s="177">
        <f>ROUND((Q23+R23+P23)*S23,0)</f>
        <v>0</v>
      </c>
      <c r="W23" s="16" t="s">
        <v>11</v>
      </c>
      <c r="X23" s="46"/>
      <c r="Y23" s="46"/>
      <c r="Z23" s="2">
        <v>19</v>
      </c>
      <c r="AA23" s="2">
        <v>19</v>
      </c>
    </row>
    <row r="24" spans="1:28" ht="14.4" customHeight="1">
      <c r="A24" s="46"/>
      <c r="B24" s="159"/>
      <c r="C24" s="160"/>
      <c r="D24" s="161"/>
      <c r="E24" s="162"/>
      <c r="F24" s="50" t="s">
        <v>48</v>
      </c>
      <c r="G24" s="163"/>
      <c r="H24" s="164"/>
      <c r="I24" s="165"/>
      <c r="J24" s="166"/>
      <c r="K24" s="46"/>
      <c r="L24" s="206"/>
      <c r="M24" s="10">
        <v>13</v>
      </c>
      <c r="N24" s="43" t="s">
        <v>24</v>
      </c>
      <c r="O24" s="69"/>
      <c r="P24" s="9"/>
      <c r="Q24" s="9"/>
      <c r="R24" s="9"/>
      <c r="S24" s="9"/>
      <c r="T24" s="11">
        <f>M24</f>
        <v>13</v>
      </c>
      <c r="U24" s="168">
        <f>U18+U22+U19+U20</f>
        <v>0</v>
      </c>
      <c r="V24" s="168">
        <f>V18+V23+V19+V20</f>
        <v>0</v>
      </c>
      <c r="W24" s="169">
        <f>U24+V24</f>
        <v>0</v>
      </c>
      <c r="X24" s="46"/>
      <c r="Y24" s="46"/>
      <c r="Z24" s="2">
        <v>20</v>
      </c>
      <c r="AA24" s="2">
        <v>20</v>
      </c>
    </row>
    <row r="25" spans="1:28" ht="14.4" customHeight="1">
      <c r="A25" s="46"/>
      <c r="B25" s="51"/>
      <c r="C25" s="51"/>
      <c r="D25" s="51"/>
      <c r="E25" s="51"/>
      <c r="F25" s="59" t="s">
        <v>9</v>
      </c>
      <c r="G25" s="51"/>
      <c r="H25" s="51"/>
      <c r="I25" s="51"/>
      <c r="J25" s="51"/>
      <c r="K25" s="46"/>
      <c r="L25" s="214"/>
      <c r="M25" s="10">
        <v>14</v>
      </c>
      <c r="N25" s="43" t="s">
        <v>86</v>
      </c>
      <c r="O25" s="69"/>
      <c r="P25" s="9"/>
      <c r="Q25" s="9"/>
      <c r="R25" s="9"/>
      <c r="S25" s="9"/>
      <c r="T25" s="11">
        <f>M25</f>
        <v>14</v>
      </c>
      <c r="U25" s="169">
        <f>ROUND(U16*W24,0)</f>
        <v>0</v>
      </c>
      <c r="V25" s="169">
        <f>ROUND(V16*W24,0)</f>
        <v>0</v>
      </c>
      <c r="W25" s="9"/>
      <c r="X25" s="46"/>
      <c r="Y25" s="46"/>
      <c r="Z25" s="2">
        <v>21</v>
      </c>
      <c r="AA25" s="2">
        <v>21</v>
      </c>
    </row>
    <row r="26" spans="1:28" ht="14.4" customHeight="1">
      <c r="A26" s="46"/>
      <c r="B26" s="62" t="s">
        <v>58</v>
      </c>
      <c r="C26" s="62" t="s">
        <v>59</v>
      </c>
      <c r="D26" s="62" t="s">
        <v>60</v>
      </c>
      <c r="E26" s="62" t="s">
        <v>61</v>
      </c>
      <c r="F26" s="52" t="s">
        <v>65</v>
      </c>
      <c r="G26" s="62" t="s">
        <v>58</v>
      </c>
      <c r="H26" s="62" t="s">
        <v>59</v>
      </c>
      <c r="I26" s="62" t="s">
        <v>60</v>
      </c>
      <c r="J26" s="62" t="s">
        <v>61</v>
      </c>
      <c r="K26" s="46"/>
      <c r="L26" s="209" t="s">
        <v>14</v>
      </c>
      <c r="M26" s="207" t="s">
        <v>27</v>
      </c>
      <c r="N26" s="208"/>
      <c r="O26" s="208"/>
      <c r="P26" s="21" t="s">
        <v>84</v>
      </c>
      <c r="Q26" s="7"/>
      <c r="R26" s="7"/>
      <c r="S26" s="7"/>
      <c r="T26" s="8">
        <v>15</v>
      </c>
      <c r="U26" s="169">
        <f>MAX(U15-U25,0)</f>
        <v>0</v>
      </c>
      <c r="V26" s="169">
        <f>MAX(V15-V25,0)</f>
        <v>0</v>
      </c>
      <c r="W26" s="16" t="s">
        <v>11</v>
      </c>
      <c r="X26" s="46"/>
      <c r="Y26" s="46"/>
      <c r="Z26" s="2">
        <v>22</v>
      </c>
      <c r="AA26" s="2">
        <v>22</v>
      </c>
    </row>
    <row r="27" spans="1:28" ht="14.4" customHeight="1">
      <c r="A27" s="46"/>
      <c r="B27" s="159"/>
      <c r="C27" s="160"/>
      <c r="D27" s="161"/>
      <c r="E27" s="162"/>
      <c r="F27" s="50" t="s">
        <v>46</v>
      </c>
      <c r="G27" s="163"/>
      <c r="H27" s="164"/>
      <c r="I27" s="165"/>
      <c r="J27" s="166"/>
      <c r="K27" s="46"/>
      <c r="L27" s="209"/>
      <c r="M27" s="10"/>
      <c r="N27" s="22" t="s">
        <v>25</v>
      </c>
      <c r="O27" s="22" t="s">
        <v>15</v>
      </c>
      <c r="P27" s="23" t="s">
        <v>137</v>
      </c>
      <c r="Q27" s="178">
        <f>10*U11</f>
        <v>15100</v>
      </c>
      <c r="R27" s="73" t="s">
        <v>79</v>
      </c>
      <c r="S27" s="9"/>
      <c r="T27" s="11" t="s">
        <v>33</v>
      </c>
      <c r="U27" s="169">
        <f>MAX(0,U26-Q27)</f>
        <v>0</v>
      </c>
      <c r="V27" s="169">
        <f>MAX(0,V26-Q27)</f>
        <v>0</v>
      </c>
      <c r="W27" s="169">
        <f>U27+V27</f>
        <v>0</v>
      </c>
      <c r="X27" s="46"/>
      <c r="Y27" s="46"/>
      <c r="Z27" s="2">
        <v>23</v>
      </c>
      <c r="AA27" s="2">
        <v>23</v>
      </c>
    </row>
    <row r="28" spans="1:28" ht="14.4" customHeight="1">
      <c r="A28" s="46"/>
      <c r="B28" s="159"/>
      <c r="C28" s="160"/>
      <c r="D28" s="161"/>
      <c r="E28" s="162"/>
      <c r="F28" s="50" t="s">
        <v>47</v>
      </c>
      <c r="G28" s="163"/>
      <c r="H28" s="164"/>
      <c r="I28" s="165"/>
      <c r="J28" s="166"/>
      <c r="K28" s="46"/>
      <c r="L28" s="209"/>
      <c r="M28" s="10"/>
      <c r="N28" s="24">
        <v>1</v>
      </c>
      <c r="O28" s="25">
        <v>0.12</v>
      </c>
      <c r="P28" s="23" t="s">
        <v>102</v>
      </c>
      <c r="Q28" s="9"/>
      <c r="R28" s="9"/>
      <c r="S28" s="9"/>
      <c r="T28" s="11" t="s">
        <v>17</v>
      </c>
      <c r="U28" s="169">
        <f>ROUND(0.3*W27,0)</f>
        <v>0</v>
      </c>
      <c r="V28" s="169">
        <f>ROUND(0.3*W27,0)</f>
        <v>0</v>
      </c>
      <c r="W28" s="9"/>
      <c r="X28" s="46"/>
      <c r="Y28" s="46"/>
      <c r="Z28" s="2">
        <v>24</v>
      </c>
      <c r="AA28" s="2">
        <v>24</v>
      </c>
    </row>
    <row r="29" spans="1:28" ht="14.4" customHeight="1">
      <c r="A29" s="46"/>
      <c r="B29" s="159"/>
      <c r="C29" s="160"/>
      <c r="D29" s="161"/>
      <c r="E29" s="162"/>
      <c r="F29" s="50" t="s">
        <v>48</v>
      </c>
      <c r="G29" s="163"/>
      <c r="H29" s="164"/>
      <c r="I29" s="165"/>
      <c r="J29" s="166"/>
      <c r="K29" s="46"/>
      <c r="L29" s="209"/>
      <c r="M29" s="10"/>
      <c r="N29" s="24">
        <v>2</v>
      </c>
      <c r="O29" s="25">
        <v>0.17</v>
      </c>
      <c r="P29" s="23" t="s">
        <v>34</v>
      </c>
      <c r="Q29" s="9"/>
      <c r="R29" s="9"/>
      <c r="S29" s="9"/>
      <c r="T29" s="11">
        <v>17</v>
      </c>
      <c r="U29" s="40">
        <f>IF(W17=0,0,IF(W17=1,O28,IF(W17=2,O29,IF(W17=3,O30,(W17-3)*O31+O30))))</f>
        <v>0</v>
      </c>
      <c r="V29" s="40">
        <f>IF(W17=0,0,IF(W17=1,O28,IF(W17=2,O29,IF(W17=3,O30,(W17-3)*O31+O30))))</f>
        <v>0</v>
      </c>
      <c r="W29" s="16" t="s">
        <v>11</v>
      </c>
      <c r="X29" s="46"/>
      <c r="Y29" s="46"/>
      <c r="Z29" s="2">
        <v>25</v>
      </c>
      <c r="AA29" s="2">
        <v>25</v>
      </c>
    </row>
    <row r="30" spans="1:28" ht="14.4" customHeight="1">
      <c r="A30" s="46"/>
      <c r="B30" s="62" t="s">
        <v>58</v>
      </c>
      <c r="C30" s="62" t="s">
        <v>59</v>
      </c>
      <c r="D30" s="62" t="s">
        <v>60</v>
      </c>
      <c r="E30" s="62" t="s">
        <v>61</v>
      </c>
      <c r="F30" s="60" t="s">
        <v>57</v>
      </c>
      <c r="G30" s="62" t="s">
        <v>58</v>
      </c>
      <c r="H30" s="62" t="s">
        <v>59</v>
      </c>
      <c r="I30" s="63" t="s">
        <v>60</v>
      </c>
      <c r="J30" s="62" t="s">
        <v>61</v>
      </c>
      <c r="K30" s="46"/>
      <c r="L30" s="209"/>
      <c r="M30" s="10"/>
      <c r="N30" s="24">
        <v>3</v>
      </c>
      <c r="O30" s="25">
        <v>0.21</v>
      </c>
      <c r="P30" s="26" t="s">
        <v>36</v>
      </c>
      <c r="Q30" s="9"/>
      <c r="R30" s="9"/>
      <c r="S30" s="9"/>
      <c r="T30" s="11" t="s">
        <v>35</v>
      </c>
      <c r="U30" s="169">
        <f>MAX(ROUND((U26-U28)*U29,0),0)</f>
        <v>0</v>
      </c>
      <c r="V30" s="169">
        <f>MAX(ROUND((V26-V28)*V29,0),0)</f>
        <v>0</v>
      </c>
      <c r="W30" s="169">
        <f>U30+V30</f>
        <v>0</v>
      </c>
      <c r="X30" s="46"/>
      <c r="Y30" s="46"/>
      <c r="Z30" s="2">
        <v>26</v>
      </c>
      <c r="AA30" s="2">
        <v>26</v>
      </c>
    </row>
    <row r="31" spans="1:28" ht="14.4" customHeight="1">
      <c r="A31" s="46"/>
      <c r="B31" s="159"/>
      <c r="C31" s="160"/>
      <c r="D31" s="161"/>
      <c r="E31" s="162"/>
      <c r="F31" s="50" t="s">
        <v>43</v>
      </c>
      <c r="G31" s="163"/>
      <c r="H31" s="164"/>
      <c r="I31" s="165"/>
      <c r="J31" s="166"/>
      <c r="K31" s="46"/>
      <c r="L31" s="209"/>
      <c r="M31" s="27"/>
      <c r="N31" s="28" t="s">
        <v>26</v>
      </c>
      <c r="O31" s="29">
        <v>0.02</v>
      </c>
      <c r="P31" s="30" t="s">
        <v>37</v>
      </c>
      <c r="Q31" s="31"/>
      <c r="R31" s="31"/>
      <c r="S31" s="31"/>
      <c r="T31" s="32" t="s">
        <v>17</v>
      </c>
      <c r="U31" s="181"/>
      <c r="V31" s="182"/>
      <c r="W31" s="169">
        <f>IF(W17=0,0,ROUND(W30/W17,0))</f>
        <v>0</v>
      </c>
      <c r="X31" s="46"/>
      <c r="Y31" s="46"/>
      <c r="Z31" s="2">
        <v>27</v>
      </c>
      <c r="AA31" s="2">
        <v>27</v>
      </c>
    </row>
    <row r="32" spans="1:28" ht="14.4" customHeight="1">
      <c r="A32" s="46"/>
      <c r="B32" s="159"/>
      <c r="C32" s="160"/>
      <c r="D32" s="161"/>
      <c r="E32" s="162"/>
      <c r="F32" s="50" t="s">
        <v>44</v>
      </c>
      <c r="G32" s="163"/>
      <c r="H32" s="164"/>
      <c r="I32" s="165"/>
      <c r="J32" s="166"/>
      <c r="K32" s="46"/>
      <c r="L32" s="205" t="s">
        <v>16</v>
      </c>
      <c r="M32" s="10">
        <v>19</v>
      </c>
      <c r="N32" s="73" t="s">
        <v>87</v>
      </c>
      <c r="O32" s="69"/>
      <c r="P32" s="9"/>
      <c r="Q32" s="9"/>
      <c r="R32" s="9"/>
      <c r="S32" s="9"/>
      <c r="T32" s="11">
        <v>19</v>
      </c>
      <c r="U32" s="169">
        <f>U25+U30</f>
        <v>0</v>
      </c>
      <c r="V32" s="169">
        <f>V25+V30</f>
        <v>0</v>
      </c>
      <c r="W32" s="9"/>
      <c r="X32" s="46"/>
      <c r="Y32" s="46"/>
      <c r="Z32" s="2">
        <v>28</v>
      </c>
      <c r="AA32" s="2">
        <v>28</v>
      </c>
    </row>
    <row r="33" spans="1:27" ht="14.4" customHeight="1">
      <c r="A33" s="46"/>
      <c r="B33" s="159"/>
      <c r="C33" s="160"/>
      <c r="D33" s="161"/>
      <c r="E33" s="162"/>
      <c r="F33" s="50" t="s">
        <v>3</v>
      </c>
      <c r="G33" s="163"/>
      <c r="H33" s="164"/>
      <c r="I33" s="165"/>
      <c r="J33" s="166"/>
      <c r="K33" s="46"/>
      <c r="L33" s="206"/>
      <c r="M33" s="10">
        <v>20</v>
      </c>
      <c r="N33" s="43" t="s">
        <v>88</v>
      </c>
      <c r="O33" s="69"/>
      <c r="P33" s="9"/>
      <c r="Q33" s="9"/>
      <c r="R33" s="9"/>
      <c r="S33" s="9"/>
      <c r="T33" s="11">
        <v>20</v>
      </c>
      <c r="U33" s="169">
        <f>ROUND(U17*W31+U18,0)</f>
        <v>0</v>
      </c>
      <c r="V33" s="169">
        <f>ROUND(V17*W31+V18,0)</f>
        <v>0</v>
      </c>
      <c r="W33" s="9"/>
      <c r="X33" s="46"/>
      <c r="Y33" s="46"/>
      <c r="Z33" s="2">
        <v>29</v>
      </c>
      <c r="AA33" s="2">
        <v>29</v>
      </c>
    </row>
    <row r="34" spans="1:27" ht="14.4" customHeight="1">
      <c r="A34" s="46"/>
      <c r="B34" s="48"/>
      <c r="C34" s="62"/>
      <c r="D34" s="48"/>
      <c r="E34" s="48"/>
      <c r="F34" s="59" t="s">
        <v>62</v>
      </c>
      <c r="G34" s="48"/>
      <c r="H34" s="48"/>
      <c r="I34" s="62"/>
      <c r="J34" s="48"/>
      <c r="K34" s="46"/>
      <c r="L34" s="206"/>
      <c r="M34" s="10">
        <v>21</v>
      </c>
      <c r="N34" s="43" t="s">
        <v>89</v>
      </c>
      <c r="O34" s="69"/>
      <c r="P34" s="9"/>
      <c r="Q34" s="9"/>
      <c r="R34" s="9"/>
      <c r="S34" s="9"/>
      <c r="T34" s="11">
        <v>21</v>
      </c>
      <c r="U34" s="179">
        <f>U19+U20+U22</f>
        <v>0</v>
      </c>
      <c r="V34" s="179">
        <f>V19+V20+V23</f>
        <v>0</v>
      </c>
      <c r="W34" s="9"/>
      <c r="X34" s="46"/>
      <c r="Y34" s="46"/>
      <c r="Z34" s="2">
        <v>30</v>
      </c>
      <c r="AA34" s="2">
        <v>30</v>
      </c>
    </row>
    <row r="35" spans="1:27" ht="14.4" customHeight="1">
      <c r="A35" s="46"/>
      <c r="B35" s="53"/>
      <c r="C35" s="141"/>
      <c r="D35" s="48"/>
      <c r="E35" s="48"/>
      <c r="F35" s="49" t="s">
        <v>93</v>
      </c>
      <c r="G35" s="48"/>
      <c r="H35" s="48"/>
      <c r="I35" s="66"/>
      <c r="J35" s="54"/>
      <c r="K35" s="46"/>
      <c r="L35" s="206"/>
      <c r="M35" s="10">
        <v>22</v>
      </c>
      <c r="N35" s="43" t="s">
        <v>28</v>
      </c>
      <c r="O35" s="69"/>
      <c r="P35" s="9"/>
      <c r="Q35" s="9"/>
      <c r="R35" s="9"/>
      <c r="S35" s="9"/>
      <c r="T35" s="11" t="s">
        <v>18</v>
      </c>
      <c r="U35" s="72">
        <f>ROUND(IF(V17=0,0,((C41*0.1)+(C42*0.3))/V17),2)</f>
        <v>0</v>
      </c>
      <c r="V35" s="72">
        <f>ROUND(IF(U17=0,0,((I41*0.1)+(I42*0.3))/U17),2)</f>
        <v>0</v>
      </c>
      <c r="W35" s="9"/>
      <c r="X35" s="46"/>
      <c r="Y35" s="46"/>
      <c r="Z35" s="2">
        <v>31</v>
      </c>
      <c r="AA35" s="2">
        <v>31</v>
      </c>
    </row>
    <row r="36" spans="1:27" ht="14.4" customHeight="1">
      <c r="A36" s="46"/>
      <c r="B36" s="53"/>
      <c r="C36" s="141"/>
      <c r="D36" s="48"/>
      <c r="E36" s="48"/>
      <c r="F36" s="49" t="s">
        <v>94</v>
      </c>
      <c r="G36" s="48"/>
      <c r="H36" s="48"/>
      <c r="I36" s="66"/>
      <c r="J36" s="54"/>
      <c r="K36" s="46"/>
      <c r="L36" s="206"/>
      <c r="M36" s="10"/>
      <c r="N36" s="43" t="s">
        <v>39</v>
      </c>
      <c r="O36" s="69"/>
      <c r="P36" s="9"/>
      <c r="Q36" s="9"/>
      <c r="R36" s="9"/>
      <c r="S36" s="9"/>
      <c r="T36" s="11" t="s">
        <v>17</v>
      </c>
      <c r="U36" s="170">
        <f>ROUND(U35*V33,0)</f>
        <v>0</v>
      </c>
      <c r="V36" s="170">
        <f>ROUND(V35*U33,0)</f>
        <v>0</v>
      </c>
      <c r="W36" s="9"/>
      <c r="X36" s="46"/>
      <c r="Y36" s="46"/>
      <c r="Z36" s="2">
        <v>32</v>
      </c>
      <c r="AA36" s="2">
        <v>32</v>
      </c>
    </row>
    <row r="37" spans="1:27" ht="14.4" customHeight="1">
      <c r="A37" s="46"/>
      <c r="B37" s="48"/>
      <c r="C37" s="63" t="s">
        <v>66</v>
      </c>
      <c r="D37" s="48"/>
      <c r="E37" s="48"/>
      <c r="F37" s="61" t="s">
        <v>63</v>
      </c>
      <c r="G37" s="48"/>
      <c r="H37" s="48"/>
      <c r="I37" s="63" t="s">
        <v>66</v>
      </c>
      <c r="J37" s="48"/>
      <c r="K37" s="46"/>
      <c r="L37" s="206"/>
      <c r="M37" s="10">
        <v>23</v>
      </c>
      <c r="N37" s="43" t="s">
        <v>29</v>
      </c>
      <c r="O37" s="69"/>
      <c r="P37" s="9"/>
      <c r="Q37" s="9"/>
      <c r="R37" s="9"/>
      <c r="S37" s="9"/>
      <c r="T37" s="11" t="s">
        <v>38</v>
      </c>
      <c r="U37" s="44" t="str">
        <f>IF(C36="Y","Yes","No")</f>
        <v>No</v>
      </c>
      <c r="V37" s="44" t="str">
        <f>IF(I36="y","Yes","No")</f>
        <v>No</v>
      </c>
      <c r="W37" s="9"/>
      <c r="X37" s="46"/>
      <c r="Y37" s="46"/>
      <c r="Z37" s="2">
        <v>33</v>
      </c>
      <c r="AA37" s="2">
        <v>33</v>
      </c>
    </row>
    <row r="38" spans="1:27" ht="14.4" customHeight="1">
      <c r="A38" s="46"/>
      <c r="B38" s="53"/>
      <c r="C38" s="141"/>
      <c r="D38" s="48"/>
      <c r="E38" s="48"/>
      <c r="F38" s="49" t="s">
        <v>49</v>
      </c>
      <c r="G38" s="48"/>
      <c r="H38" s="48"/>
      <c r="I38" s="66"/>
      <c r="J38" s="54"/>
      <c r="K38" s="46"/>
      <c r="L38" s="206"/>
      <c r="M38" s="10"/>
      <c r="N38" s="43" t="s">
        <v>103</v>
      </c>
      <c r="O38" s="69"/>
      <c r="P38" s="9"/>
      <c r="Q38" s="9"/>
      <c r="R38" s="9"/>
      <c r="S38" s="9"/>
      <c r="T38" s="11" t="s">
        <v>17</v>
      </c>
      <c r="U38" s="42">
        <f>IF(U37="Yes",0.35,0.5)</f>
        <v>0.5</v>
      </c>
      <c r="V38" s="42">
        <f>IF(V37="Yes",0.35,0.5)</f>
        <v>0.5</v>
      </c>
      <c r="W38" s="9"/>
      <c r="X38" s="46"/>
      <c r="Y38" s="46"/>
      <c r="Z38" s="2">
        <v>34</v>
      </c>
      <c r="AA38" s="2">
        <v>34</v>
      </c>
    </row>
    <row r="39" spans="1:27" ht="14.4" customHeight="1" thickBot="1">
      <c r="A39" s="46"/>
      <c r="B39" s="48"/>
      <c r="C39" s="141"/>
      <c r="D39" s="48"/>
      <c r="E39" s="48"/>
      <c r="F39" s="49" t="s">
        <v>50</v>
      </c>
      <c r="G39" s="48"/>
      <c r="H39" s="48"/>
      <c r="I39" s="139">
        <f>C39</f>
        <v>0</v>
      </c>
      <c r="J39" s="48"/>
      <c r="K39" s="223" t="str">
        <f>IF(V51="SSP","Self Support Protection Implicated",IF(V51="MIN","Minimum Order Implicated",""))</f>
        <v/>
      </c>
      <c r="L39" s="206"/>
      <c r="M39" s="10"/>
      <c r="N39" s="43" t="s">
        <v>70</v>
      </c>
      <c r="O39" s="69"/>
      <c r="P39" s="9"/>
      <c r="Q39" s="9"/>
      <c r="R39" s="9"/>
      <c r="S39" s="9"/>
      <c r="T39" s="11" t="s">
        <v>19</v>
      </c>
      <c r="U39" s="179">
        <f>ROUND(U15*U38,0)</f>
        <v>0</v>
      </c>
      <c r="V39" s="179">
        <f>ROUND(V15*V38,0)</f>
        <v>0</v>
      </c>
      <c r="W39" s="9"/>
      <c r="X39" s="46"/>
      <c r="Y39" s="46"/>
      <c r="Z39" s="2">
        <v>35</v>
      </c>
      <c r="AA39" s="2">
        <v>35</v>
      </c>
    </row>
    <row r="40" spans="1:27" ht="14.4" customHeight="1" thickTop="1" thickBot="1">
      <c r="A40" s="46"/>
      <c r="B40" s="48"/>
      <c r="C40" s="63" t="s">
        <v>66</v>
      </c>
      <c r="D40" s="48"/>
      <c r="E40" s="48"/>
      <c r="F40" s="60" t="s">
        <v>64</v>
      </c>
      <c r="G40" s="48"/>
      <c r="H40" s="48"/>
      <c r="I40" s="63" t="s">
        <v>66</v>
      </c>
      <c r="J40" s="48"/>
      <c r="K40" s="223"/>
      <c r="L40" s="33">
        <v>24</v>
      </c>
      <c r="M40" s="34" t="s">
        <v>42</v>
      </c>
      <c r="N40" s="35"/>
      <c r="O40" s="36"/>
      <c r="P40" s="35"/>
      <c r="Q40" s="35"/>
      <c r="R40" s="35"/>
      <c r="S40" s="35"/>
      <c r="T40" s="37">
        <v>24</v>
      </c>
      <c r="U40" s="180">
        <f>MAX(MIN(U32-U33-U34-U36,U39),0)</f>
        <v>0</v>
      </c>
      <c r="V40" s="180">
        <f>MAX(MIN(V32-V33-V34-V36,V39),0)</f>
        <v>0</v>
      </c>
      <c r="W40" s="9"/>
      <c r="X40" s="46"/>
      <c r="Y40" s="46"/>
      <c r="Z40" s="2">
        <v>36</v>
      </c>
      <c r="AA40" s="2">
        <v>36</v>
      </c>
    </row>
    <row r="41" spans="1:27" ht="14.4" customHeight="1" thickTop="1">
      <c r="A41" s="46"/>
      <c r="B41" s="53"/>
      <c r="C41" s="141"/>
      <c r="D41" s="48"/>
      <c r="E41" s="48"/>
      <c r="F41" s="49" t="s">
        <v>52</v>
      </c>
      <c r="G41" s="48"/>
      <c r="H41" s="48"/>
      <c r="I41" s="84"/>
      <c r="J41" s="54"/>
      <c r="K41" s="223"/>
      <c r="L41" s="114"/>
      <c r="M41" s="116"/>
      <c r="N41" s="153"/>
      <c r="O41" s="184" t="s">
        <v>128</v>
      </c>
      <c r="P41" s="184"/>
      <c r="Q41" s="154">
        <f>(ROUND(0.2*(Q18+S18),-1))</f>
        <v>150</v>
      </c>
      <c r="R41" s="155" t="s">
        <v>129</v>
      </c>
      <c r="S41" s="156">
        <f>ROUND(0.2*(Q18+Q18+S18),-1)</f>
        <v>230</v>
      </c>
      <c r="T41" s="150" t="s">
        <v>130</v>
      </c>
      <c r="U41" s="111"/>
      <c r="V41" s="112"/>
      <c r="W41" s="9"/>
      <c r="X41" s="46"/>
      <c r="Y41" s="46"/>
      <c r="Z41" s="2">
        <v>37</v>
      </c>
      <c r="AA41" s="2">
        <v>37</v>
      </c>
    </row>
    <row r="42" spans="1:27" ht="14.4" customHeight="1">
      <c r="A42" s="46"/>
      <c r="B42" s="53"/>
      <c r="C42" s="141"/>
      <c r="D42" s="48"/>
      <c r="E42" s="48"/>
      <c r="F42" s="49" t="s">
        <v>53</v>
      </c>
      <c r="G42" s="48"/>
      <c r="H42" s="48"/>
      <c r="I42" s="84"/>
      <c r="J42" s="54"/>
      <c r="K42" s="223"/>
      <c r="L42" s="115"/>
      <c r="M42" s="132">
        <v>25</v>
      </c>
      <c r="N42" s="109" t="s">
        <v>85</v>
      </c>
      <c r="O42" s="110"/>
      <c r="P42" s="110"/>
      <c r="Q42" s="110"/>
      <c r="R42" s="110"/>
      <c r="S42" s="110"/>
      <c r="T42" s="133">
        <v>25</v>
      </c>
      <c r="U42" s="113">
        <f>IF(W15=0,0,MAX(MIN(IF(U16&lt;0.5,ROUNDUP(U16,1),ROUNDDOWN(U16,1)),0.9),0.1))</f>
        <v>0</v>
      </c>
      <c r="V42" s="113">
        <f>IF(W15=0,0,MAX(MIN(IF(V16&lt;0.5,ROUNDUP(V16,1),ROUNDDOWN(V16,1)),0.9),0.1))</f>
        <v>0</v>
      </c>
      <c r="W42" s="134"/>
      <c r="X42" s="46"/>
      <c r="Y42" s="46"/>
      <c r="Z42" s="2">
        <v>38</v>
      </c>
      <c r="AA42" s="2">
        <v>38</v>
      </c>
    </row>
    <row r="43" spans="1:27" ht="14.4" customHeight="1">
      <c r="A43" s="46"/>
      <c r="B43" s="47"/>
      <c r="C43" s="90" t="s">
        <v>66</v>
      </c>
      <c r="D43" s="47"/>
      <c r="E43" s="47"/>
      <c r="F43" s="61" t="s">
        <v>104</v>
      </c>
      <c r="G43" s="47"/>
      <c r="H43" s="47"/>
      <c r="I43" s="90" t="s">
        <v>66</v>
      </c>
      <c r="J43" s="47"/>
      <c r="K43" s="223"/>
      <c r="L43" s="189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1"/>
      <c r="X43" s="68"/>
      <c r="Y43" s="46"/>
      <c r="Z43" s="2">
        <v>39</v>
      </c>
      <c r="AA43" s="2">
        <v>39</v>
      </c>
    </row>
    <row r="44" spans="1:27" ht="14.4" customHeight="1">
      <c r="A44" s="50"/>
      <c r="B44" s="50"/>
      <c r="C44" s="149" t="s">
        <v>125</v>
      </c>
      <c r="D44" s="50"/>
      <c r="E44" s="50"/>
      <c r="F44" s="50" t="s">
        <v>105</v>
      </c>
      <c r="G44" s="50"/>
      <c r="H44" s="50"/>
      <c r="I44" s="66" t="s">
        <v>125</v>
      </c>
      <c r="J44" s="50"/>
      <c r="K44" s="50"/>
      <c r="L44" s="192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4"/>
      <c r="X44" s="46"/>
      <c r="Y44" s="46"/>
      <c r="Z44" s="2">
        <v>40</v>
      </c>
      <c r="AA44" s="2">
        <v>40</v>
      </c>
    </row>
    <row r="45" spans="1:27" ht="14.4" customHeight="1">
      <c r="A45" s="50"/>
      <c r="B45" s="50"/>
      <c r="C45" s="141" t="s">
        <v>132</v>
      </c>
      <c r="D45" s="50"/>
      <c r="E45" s="50"/>
      <c r="F45" s="50" t="s">
        <v>115</v>
      </c>
      <c r="G45" s="46"/>
      <c r="H45" s="50"/>
      <c r="I45" s="66" t="s">
        <v>132</v>
      </c>
      <c r="J45" s="50"/>
      <c r="K45" s="50"/>
      <c r="L45" s="192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4"/>
      <c r="X45" s="46"/>
      <c r="Y45" s="46"/>
      <c r="Z45" s="2">
        <v>41</v>
      </c>
      <c r="AA45" s="2">
        <v>41</v>
      </c>
    </row>
    <row r="46" spans="1:27" ht="14.4" customHeight="1">
      <c r="A46" s="50"/>
      <c r="B46" s="50"/>
      <c r="C46" s="141" t="s">
        <v>132</v>
      </c>
      <c r="D46" s="50"/>
      <c r="E46" s="46"/>
      <c r="F46" s="50" t="s">
        <v>116</v>
      </c>
      <c r="G46" s="46"/>
      <c r="H46" s="50"/>
      <c r="I46" s="66" t="s">
        <v>131</v>
      </c>
      <c r="J46" s="50"/>
      <c r="K46" s="50"/>
      <c r="L46" s="192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4"/>
      <c r="X46" s="46"/>
      <c r="Y46" s="46"/>
      <c r="Z46" s="2">
        <v>42</v>
      </c>
      <c r="AA46" s="2">
        <v>42</v>
      </c>
    </row>
    <row r="47" spans="1:27" ht="14.4" customHeight="1">
      <c r="A47" s="50"/>
      <c r="B47" s="50"/>
      <c r="C47" s="141" t="s">
        <v>132</v>
      </c>
      <c r="D47" s="50"/>
      <c r="E47" s="46"/>
      <c r="F47" s="50" t="s">
        <v>117</v>
      </c>
      <c r="G47" s="46"/>
      <c r="H47" s="50"/>
      <c r="I47" s="66" t="s">
        <v>131</v>
      </c>
      <c r="J47" s="50"/>
      <c r="K47" s="50"/>
      <c r="L47" s="192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4"/>
      <c r="X47" s="46"/>
      <c r="Y47" s="46"/>
      <c r="Z47" s="2">
        <v>43</v>
      </c>
      <c r="AA47" s="2">
        <v>43</v>
      </c>
    </row>
    <row r="48" spans="1:27" ht="14.4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192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4"/>
      <c r="X48" s="46"/>
      <c r="Y48" s="46"/>
      <c r="Z48" s="2">
        <v>44</v>
      </c>
      <c r="AA48" s="2">
        <v>44</v>
      </c>
    </row>
    <row r="49" spans="1:27" ht="13.2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195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7"/>
      <c r="X49" s="46"/>
      <c r="Y49" s="46"/>
      <c r="Z49" s="2">
        <v>45</v>
      </c>
      <c r="AA49" s="2">
        <v>45</v>
      </c>
    </row>
    <row r="50" spans="1:27" ht="13.2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185" t="s">
        <v>119</v>
      </c>
      <c r="M50" s="186"/>
      <c r="N50" s="130"/>
      <c r="O50" s="136" t="s">
        <v>126</v>
      </c>
      <c r="P50" s="136" t="s">
        <v>127</v>
      </c>
      <c r="Q50" s="130"/>
      <c r="R50" s="136" t="s">
        <v>126</v>
      </c>
      <c r="S50" s="136" t="s">
        <v>127</v>
      </c>
      <c r="T50" s="200" t="s">
        <v>134</v>
      </c>
      <c r="U50" s="201"/>
      <c r="V50" s="129" t="str">
        <f>IF(AND(C47="Yes",I47="Yes"),"BTH",IF(AND(C47="NO",I47="NO"),"NO",IF(OR(AND(U40&lt;V40,I47="Yes"), AND(U40&gt;V40, C47="Yes")),"NC",IF(OR(AND(U40&lt;V40, C47="Yes"), AND(U40&gt;V40, I47="Yes")),"CP",""))))</f>
        <v/>
      </c>
      <c r="W50" s="151" t="s">
        <v>138</v>
      </c>
      <c r="X50" s="46"/>
      <c r="Y50" s="46"/>
      <c r="Z50" s="2">
        <v>46</v>
      </c>
      <c r="AA50" s="2">
        <v>46</v>
      </c>
    </row>
    <row r="51" spans="1:27" ht="13.2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187"/>
      <c r="M51" s="188"/>
      <c r="N51" s="135" t="s">
        <v>133</v>
      </c>
      <c r="O51" s="129" t="str">
        <f>IF(U40&lt;V40,I56,C56)</f>
        <v>NO</v>
      </c>
      <c r="P51" s="129" t="str">
        <f>IF(U40&lt;V40,C56,I56)</f>
        <v>DOC</v>
      </c>
      <c r="Q51" s="135" t="s">
        <v>118</v>
      </c>
      <c r="R51" s="129" t="str">
        <f>IF(U40&lt;V40,I57, C57)</f>
        <v>0</v>
      </c>
      <c r="S51" s="129" t="str">
        <f>IF(U40&lt;V40,C57, I57)</f>
        <v>0</v>
      </c>
      <c r="T51" s="198" t="s">
        <v>135</v>
      </c>
      <c r="U51" s="199"/>
      <c r="V51" s="167" t="str">
        <f>IF(AND($U$40=0,$V$40=0),"",IF(AND($W$17=1,OR(AND($U$40&lt;Q41,V$40=0),AND($V$40&lt;120,U$40=0))),"MIN",IF(AND($W$17&gt;1,OR(AND($U$40&lt;180,V$40=0),AND($V$40&lt;S41,U$40=0))),"MIN",IF(OR(AND(U40&gt;0, $U$39=$U$40),AND(V39&gt;0, $V$39=$V$40)),"SSP",IF(OR(AND(V26&gt;15000,U40&lt;V40),U26&gt;15000),"HIA","N")))))</f>
        <v/>
      </c>
      <c r="W51" s="152"/>
      <c r="X51" s="46"/>
      <c r="Y51" s="46"/>
      <c r="Z51" s="2">
        <v>47</v>
      </c>
      <c r="AA51" s="2">
        <v>47</v>
      </c>
    </row>
    <row r="52" spans="1:27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46"/>
      <c r="M52" s="55"/>
      <c r="N52" s="46"/>
      <c r="O52" s="56"/>
      <c r="P52" s="46"/>
      <c r="Q52" s="46"/>
      <c r="R52" s="46"/>
      <c r="S52" s="46"/>
      <c r="T52" s="57"/>
      <c r="U52" s="58"/>
      <c r="V52" s="58"/>
      <c r="W52" s="46"/>
      <c r="X52" s="46"/>
      <c r="Y52" s="46"/>
      <c r="Z52" s="2">
        <v>48</v>
      </c>
      <c r="AA52" s="2">
        <v>48</v>
      </c>
    </row>
    <row r="53" spans="1:27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46"/>
      <c r="M53" s="55"/>
      <c r="N53" s="46"/>
      <c r="O53" s="56"/>
      <c r="P53" s="46"/>
      <c r="Q53" s="46"/>
      <c r="R53" s="46"/>
      <c r="S53" s="46"/>
      <c r="T53" s="57"/>
      <c r="U53" s="58"/>
      <c r="V53" s="58"/>
      <c r="W53" s="46"/>
      <c r="X53" s="46"/>
      <c r="Y53" s="46"/>
      <c r="Z53" s="2">
        <v>49</v>
      </c>
      <c r="AA53" s="2">
        <v>49</v>
      </c>
    </row>
    <row r="54" spans="1:27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46"/>
      <c r="M54" s="55"/>
      <c r="N54" s="46"/>
      <c r="O54" s="56"/>
      <c r="P54" s="46"/>
      <c r="Q54" s="46"/>
      <c r="R54" s="46"/>
      <c r="S54" s="46"/>
      <c r="T54" s="57"/>
      <c r="U54" s="58"/>
      <c r="V54" s="58"/>
      <c r="W54" s="46"/>
      <c r="X54" s="46"/>
      <c r="Y54" s="46"/>
      <c r="Z54" s="2">
        <v>50</v>
      </c>
      <c r="AA54" s="2">
        <v>50</v>
      </c>
    </row>
    <row r="55" spans="1:27" hidden="1">
      <c r="A55" s="117"/>
      <c r="B55" s="117"/>
      <c r="C55" s="117" t="str">
        <f>IF(AND(C47="Yes",I47="Yes"),"BTH",IF(C47="Yes","CP",IF(I47="Yes","NC",IF(OR(C47="",I47=""),"","NO"))))</f>
        <v>NC</v>
      </c>
      <c r="D55" s="117"/>
      <c r="E55" s="117"/>
      <c r="F55" s="117"/>
      <c r="G55" s="117"/>
      <c r="H55" s="117"/>
      <c r="I55" s="117"/>
      <c r="J55" s="117"/>
      <c r="K55" s="118"/>
      <c r="L55" s="46"/>
      <c r="M55" s="55"/>
      <c r="N55" s="46"/>
      <c r="O55" s="56"/>
      <c r="P55" s="46"/>
      <c r="Q55" s="46"/>
      <c r="R55" s="46"/>
      <c r="S55" s="46"/>
      <c r="T55" s="57"/>
      <c r="U55" s="58"/>
      <c r="V55" s="58"/>
      <c r="W55" s="46"/>
      <c r="X55" s="118"/>
      <c r="Y55" s="118"/>
      <c r="Z55" s="2">
        <v>51</v>
      </c>
      <c r="AA55" s="2">
        <v>51</v>
      </c>
    </row>
    <row r="56" spans="1:27" s="106" customFormat="1" hidden="1">
      <c r="A56" s="118"/>
      <c r="B56" s="118"/>
      <c r="C56" s="123" t="str">
        <f>IF(AND(C45="Yes",C46="Yes"),"Yes",IF(C45="Yes","16A",IF(C46="Yes","DOC",IF(AND(C45="",C46=""),"","NO"))))</f>
        <v>NO</v>
      </c>
      <c r="D56" s="123"/>
      <c r="E56" s="123"/>
      <c r="F56" s="123"/>
      <c r="G56" s="123"/>
      <c r="H56" s="123"/>
      <c r="I56" s="123" t="str">
        <f>IF(AND(I45="Yes",I46="Yes"),"Yes",IF(I45="Yes","16A",IF(I46="Yes","DOC",IF(AND(I45="",I46=""),"","NO"))))</f>
        <v>DOC</v>
      </c>
      <c r="J56" s="118"/>
      <c r="K56" s="118"/>
      <c r="L56" s="118"/>
      <c r="M56" s="119"/>
      <c r="N56" s="118"/>
      <c r="O56" s="120"/>
      <c r="P56" s="118"/>
      <c r="Q56" s="118"/>
      <c r="R56" s="118"/>
      <c r="S56" s="118"/>
      <c r="T56" s="121"/>
      <c r="U56" s="122"/>
      <c r="V56" s="122"/>
      <c r="W56" s="118"/>
      <c r="X56" s="118"/>
      <c r="Y56" s="118"/>
      <c r="Z56" s="2">
        <v>52</v>
      </c>
      <c r="AA56" s="2">
        <v>52</v>
      </c>
    </row>
    <row r="57" spans="1:27" s="106" customFormat="1" hidden="1">
      <c r="A57" s="118"/>
      <c r="B57" s="118"/>
      <c r="C57" s="117" t="str">
        <f>IF(C2="Guardian","GDN",_xlfn.XLOOKUP(C44,Z:Z,AA:AA,""))</f>
        <v>0</v>
      </c>
      <c r="D57" s="117"/>
      <c r="E57" s="117"/>
      <c r="F57" s="117"/>
      <c r="G57" s="117"/>
      <c r="H57" s="117"/>
      <c r="I57" s="117" t="str">
        <f>IF(H2="Guardian","GDN",_xlfn.XLOOKUP(I44,Z:Z,AA:AA,""))</f>
        <v>0</v>
      </c>
      <c r="J57" s="118"/>
      <c r="K57" s="118"/>
      <c r="L57" s="124"/>
      <c r="M57" s="125"/>
      <c r="N57" s="124"/>
      <c r="O57" s="126"/>
      <c r="P57" s="124"/>
      <c r="Q57" s="124"/>
      <c r="R57" s="124"/>
      <c r="S57" s="124"/>
      <c r="T57" s="127"/>
      <c r="U57" s="128"/>
      <c r="V57" s="128"/>
      <c r="W57" s="124"/>
      <c r="X57" s="118"/>
      <c r="Y57" s="118"/>
      <c r="Z57" s="2">
        <v>53</v>
      </c>
      <c r="AA57" s="2">
        <v>53</v>
      </c>
    </row>
    <row r="58" spans="1:27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118"/>
      <c r="O58" s="120"/>
      <c r="P58" s="118"/>
      <c r="Q58" s="118"/>
      <c r="R58" s="118"/>
      <c r="S58" s="118"/>
      <c r="T58" s="121"/>
      <c r="U58" s="122"/>
      <c r="V58" s="122"/>
      <c r="W58" s="118"/>
      <c r="X58" s="118"/>
      <c r="Y58" s="118"/>
      <c r="Z58" s="2">
        <v>54</v>
      </c>
      <c r="AA58" s="2">
        <v>54</v>
      </c>
    </row>
    <row r="59" spans="1:27">
      <c r="L59" s="118"/>
      <c r="M59" s="119"/>
      <c r="N59" s="118"/>
      <c r="O59" s="120"/>
      <c r="P59" s="118"/>
      <c r="Q59" s="118"/>
      <c r="R59" s="118"/>
      <c r="S59" s="118"/>
      <c r="T59" s="121"/>
      <c r="U59" s="122"/>
      <c r="V59" s="122"/>
      <c r="W59" s="118"/>
      <c r="Z59" s="2">
        <v>55</v>
      </c>
      <c r="AA59" s="2">
        <v>55</v>
      </c>
    </row>
    <row r="60" spans="1:27">
      <c r="Z60" s="2">
        <v>56</v>
      </c>
      <c r="AA60" s="2">
        <v>56</v>
      </c>
    </row>
    <row r="61" spans="1:27">
      <c r="Z61" s="2">
        <v>57</v>
      </c>
      <c r="AA61" s="2">
        <v>57</v>
      </c>
    </row>
    <row r="62" spans="1:27">
      <c r="Z62" s="2">
        <v>58</v>
      </c>
      <c r="AA62" s="2">
        <v>58</v>
      </c>
    </row>
    <row r="63" spans="1:27">
      <c r="Z63" s="2">
        <v>59</v>
      </c>
      <c r="AA63" s="2">
        <v>59</v>
      </c>
    </row>
    <row r="64" spans="1:27">
      <c r="Z64" s="2">
        <v>60</v>
      </c>
      <c r="AA64" s="2">
        <v>60</v>
      </c>
    </row>
    <row r="65" spans="26:27">
      <c r="Z65" s="2">
        <v>61</v>
      </c>
      <c r="AA65" s="2">
        <v>61</v>
      </c>
    </row>
    <row r="66" spans="26:27">
      <c r="Z66" s="2">
        <v>62</v>
      </c>
      <c r="AA66" s="2">
        <v>62</v>
      </c>
    </row>
    <row r="67" spans="26:27">
      <c r="Z67" s="2">
        <v>63</v>
      </c>
      <c r="AA67" s="2">
        <v>63</v>
      </c>
    </row>
    <row r="68" spans="26:27">
      <c r="Z68" s="2">
        <v>64</v>
      </c>
      <c r="AA68" s="2">
        <v>64</v>
      </c>
    </row>
    <row r="69" spans="26:27">
      <c r="Z69" s="2">
        <v>65</v>
      </c>
      <c r="AA69" s="2">
        <v>65</v>
      </c>
    </row>
    <row r="70" spans="26:27">
      <c r="Z70" s="2">
        <v>66</v>
      </c>
      <c r="AA70" s="2">
        <v>66</v>
      </c>
    </row>
    <row r="71" spans="26:27">
      <c r="Z71" s="2">
        <v>67</v>
      </c>
      <c r="AA71" s="2">
        <v>67</v>
      </c>
    </row>
    <row r="72" spans="26:27">
      <c r="Z72" s="2">
        <v>68</v>
      </c>
      <c r="AA72" s="2">
        <v>68</v>
      </c>
    </row>
    <row r="73" spans="26:27">
      <c r="Z73" s="2">
        <v>69</v>
      </c>
      <c r="AA73" s="2">
        <v>69</v>
      </c>
    </row>
    <row r="74" spans="26:27">
      <c r="Z74" s="2">
        <v>70</v>
      </c>
      <c r="AA74" s="2">
        <v>70</v>
      </c>
    </row>
    <row r="75" spans="26:27">
      <c r="Z75" s="2">
        <v>71</v>
      </c>
      <c r="AA75" s="2">
        <v>71</v>
      </c>
    </row>
    <row r="76" spans="26:27">
      <c r="Z76" s="2">
        <v>72</v>
      </c>
      <c r="AA76" s="2">
        <v>72</v>
      </c>
    </row>
    <row r="77" spans="26:27">
      <c r="Z77" s="2">
        <v>73</v>
      </c>
      <c r="AA77" s="2">
        <v>73</v>
      </c>
    </row>
    <row r="78" spans="26:27">
      <c r="Z78" s="2">
        <v>74</v>
      </c>
      <c r="AA78" s="2">
        <v>74</v>
      </c>
    </row>
    <row r="79" spans="26:27">
      <c r="Z79" s="2">
        <v>75</v>
      </c>
      <c r="AA79" s="2">
        <v>75</v>
      </c>
    </row>
    <row r="80" spans="26:27">
      <c r="Z80" s="2">
        <v>76</v>
      </c>
      <c r="AA80" s="2">
        <v>76</v>
      </c>
    </row>
    <row r="81" spans="26:27">
      <c r="Z81" s="2">
        <v>77</v>
      </c>
      <c r="AA81" s="2">
        <v>77</v>
      </c>
    </row>
    <row r="82" spans="26:27">
      <c r="Z82" s="2">
        <v>78</v>
      </c>
      <c r="AA82" s="2">
        <v>78</v>
      </c>
    </row>
    <row r="83" spans="26:27">
      <c r="Z83" s="2">
        <v>79</v>
      </c>
      <c r="AA83" s="2">
        <v>79</v>
      </c>
    </row>
    <row r="84" spans="26:27">
      <c r="Z84" s="2">
        <v>80</v>
      </c>
      <c r="AA84" s="2">
        <v>80</v>
      </c>
    </row>
    <row r="85" spans="26:27">
      <c r="Z85" s="2">
        <v>81</v>
      </c>
      <c r="AA85" s="2">
        <v>81</v>
      </c>
    </row>
    <row r="86" spans="26:27">
      <c r="Z86" s="2">
        <v>82</v>
      </c>
      <c r="AA86" s="2">
        <v>82</v>
      </c>
    </row>
    <row r="87" spans="26:27">
      <c r="Z87" s="2">
        <v>83</v>
      </c>
      <c r="AA87" s="2">
        <v>83</v>
      </c>
    </row>
    <row r="88" spans="26:27">
      <c r="Z88" s="2">
        <v>84</v>
      </c>
      <c r="AA88" s="2">
        <v>84</v>
      </c>
    </row>
    <row r="89" spans="26:27">
      <c r="Z89" s="2">
        <v>85</v>
      </c>
      <c r="AA89" s="2">
        <v>85</v>
      </c>
    </row>
    <row r="90" spans="26:27">
      <c r="Z90" s="2">
        <v>86</v>
      </c>
      <c r="AA90" s="2">
        <v>86</v>
      </c>
    </row>
    <row r="91" spans="26:27">
      <c r="Z91" s="2">
        <v>87</v>
      </c>
      <c r="AA91" s="2">
        <v>87</v>
      </c>
    </row>
    <row r="92" spans="26:27">
      <c r="Z92" s="2">
        <v>88</v>
      </c>
      <c r="AA92" s="2">
        <v>88</v>
      </c>
    </row>
    <row r="93" spans="26:27">
      <c r="Z93" s="2">
        <v>89</v>
      </c>
      <c r="AA93" s="2">
        <v>89</v>
      </c>
    </row>
    <row r="94" spans="26:27">
      <c r="Z94" s="2">
        <v>90</v>
      </c>
      <c r="AA94" s="2">
        <v>90</v>
      </c>
    </row>
    <row r="95" spans="26:27">
      <c r="Z95" s="2">
        <v>91</v>
      </c>
      <c r="AA95" s="2">
        <v>91</v>
      </c>
    </row>
    <row r="96" spans="26:27">
      <c r="Z96" s="2">
        <v>92</v>
      </c>
      <c r="AA96" s="2">
        <v>92</v>
      </c>
    </row>
    <row r="97" spans="26:27">
      <c r="Z97" s="2">
        <v>93</v>
      </c>
      <c r="AA97" s="2">
        <v>93</v>
      </c>
    </row>
    <row r="98" spans="26:27">
      <c r="Z98" s="2">
        <v>94</v>
      </c>
      <c r="AA98" s="2">
        <v>94</v>
      </c>
    </row>
    <row r="99" spans="26:27">
      <c r="Z99" s="2">
        <v>95</v>
      </c>
      <c r="AA99" s="2">
        <v>95</v>
      </c>
    </row>
    <row r="100" spans="26:27">
      <c r="Z100" s="2">
        <v>96</v>
      </c>
      <c r="AA100" s="2">
        <v>96</v>
      </c>
    </row>
    <row r="101" spans="26:27">
      <c r="Z101" s="2">
        <v>97</v>
      </c>
      <c r="AA101" s="2">
        <v>97</v>
      </c>
    </row>
    <row r="102" spans="26:27">
      <c r="Z102" s="2">
        <v>98</v>
      </c>
      <c r="AA102" s="2">
        <v>98</v>
      </c>
    </row>
    <row r="103" spans="26:27">
      <c r="Z103" s="2">
        <v>99</v>
      </c>
      <c r="AA103" s="2">
        <v>99</v>
      </c>
    </row>
  </sheetData>
  <sheetProtection algorithmName="SHA-512" hashValue="lkyGcDUre/MVAvmna84MvT9qdEYIOeSZLhIh0eh/zUJFfyAzGVeiPn7YXMGDUeLyeV7iD58hqClXfjBdGvzm6A==" saltValue="M0j2kCzWLneUenkXiKFzKQ==" spinCount="100000" sheet="1" selectLockedCells="1"/>
  <mergeCells count="31">
    <mergeCell ref="K39:K43"/>
    <mergeCell ref="K6:K8"/>
    <mergeCell ref="A14:A16"/>
    <mergeCell ref="K14:K16"/>
    <mergeCell ref="A6:A8"/>
    <mergeCell ref="T9:T10"/>
    <mergeCell ref="T22:T23"/>
    <mergeCell ref="S8:T8"/>
    <mergeCell ref="L3:L15"/>
    <mergeCell ref="C2:D2"/>
    <mergeCell ref="H2:I2"/>
    <mergeCell ref="L16:L25"/>
    <mergeCell ref="N7:R7"/>
    <mergeCell ref="N16:R16"/>
    <mergeCell ref="N2:O2"/>
    <mergeCell ref="T2:U2"/>
    <mergeCell ref="L2:M2"/>
    <mergeCell ref="Q2:R2"/>
    <mergeCell ref="T4:T5"/>
    <mergeCell ref="B9:C9"/>
    <mergeCell ref="G9:H9"/>
    <mergeCell ref="M22:N22"/>
    <mergeCell ref="M23:N23"/>
    <mergeCell ref="L32:L39"/>
    <mergeCell ref="M26:O26"/>
    <mergeCell ref="L26:L31"/>
    <mergeCell ref="O41:P41"/>
    <mergeCell ref="L50:M51"/>
    <mergeCell ref="L43:W49"/>
    <mergeCell ref="T51:U51"/>
    <mergeCell ref="T50:U50"/>
  </mergeCells>
  <conditionalFormatting sqref="A6">
    <cfRule type="expression" dxfId="7" priority="2">
      <formula>A6&lt;&gt;""</formula>
    </cfRule>
  </conditionalFormatting>
  <conditionalFormatting sqref="A14">
    <cfRule type="expression" dxfId="6" priority="5">
      <formula>A14&lt;&gt;""</formula>
    </cfRule>
  </conditionalFormatting>
  <conditionalFormatting sqref="C44">
    <cfRule type="expression" dxfId="5" priority="7">
      <formula>C2="guardian"</formula>
    </cfRule>
  </conditionalFormatting>
  <conditionalFormatting sqref="I44">
    <cfRule type="expression" dxfId="4" priority="6">
      <formula>H2="guardian"</formula>
    </cfRule>
  </conditionalFormatting>
  <conditionalFormatting sqref="K6">
    <cfRule type="expression" dxfId="3" priority="4">
      <formula>K6&lt;&gt;""</formula>
    </cfRule>
  </conditionalFormatting>
  <conditionalFormatting sqref="K14:K16">
    <cfRule type="expression" dxfId="2" priority="3">
      <formula>K14&lt;&gt;""</formula>
    </cfRule>
  </conditionalFormatting>
  <conditionalFormatting sqref="K39:K43">
    <cfRule type="expression" dxfId="1" priority="1">
      <formula>$K$39&lt;&gt;""</formula>
    </cfRule>
  </conditionalFormatting>
  <conditionalFormatting sqref="V51">
    <cfRule type="expression" dxfId="0" priority="8">
      <formula>$V$51="Y"</formula>
    </cfRule>
  </conditionalFormatting>
  <dataValidations count="6">
    <dataValidation type="list" allowBlank="1" showInputMessage="1" showErrorMessage="1" sqref="C2:D2" xr:uid="{9DCE9B71-1C57-47E1-9892-AD493ED1CB0C}">
      <formula1>"Father, Guardian, Parent 1"</formula1>
    </dataValidation>
    <dataValidation type="list" allowBlank="1" showInputMessage="1" showErrorMessage="1" sqref="H2:I2" xr:uid="{2525127D-E851-44C9-809D-54F1DF1DAE71}">
      <formula1>"Mother, Guardian, Parent 2"</formula1>
    </dataValidation>
    <dataValidation type="list" allowBlank="1" showInputMessage="1" showErrorMessage="1" sqref="C44" xr:uid="{8D0ADBE9-A1D1-44C7-BA4C-700CFAC05E7E}">
      <formula1>IF(C2="Guardian", "Guardian", $Z$2:$Z$103)</formula1>
    </dataValidation>
    <dataValidation type="list" allowBlank="1" showInputMessage="1" showErrorMessage="1" sqref="I44" xr:uid="{F6B0819D-F2AD-4A0B-BF91-0C8DAA2BD07C}">
      <formula1>IF(H2="Guardian", "",$Z$2:$Z$103)</formula1>
    </dataValidation>
    <dataValidation type="list" allowBlank="1" showInputMessage="1" showErrorMessage="1" sqref="C45:C47 I45:I47" xr:uid="{797F5681-1CA7-40BD-9AE8-CA1C084EF7BC}">
      <formula1>"Yes, No"</formula1>
    </dataValidation>
    <dataValidation errorStyle="warning" allowBlank="1" showInputMessage="1" showErrorMessage="1" errorTitle="Pension Exceeds 5% of Income" error="The pension entered exceeds 5% of the gross income listed on Line 1._x000a__x000a_Press &quot;Yes&quot; to continue with this value; or_x000a_Press &quot;No&quot; to re-enter a new value." sqref="I16" xr:uid="{5D8283BD-4A64-4B60-B935-F3E6E704D5AE}"/>
  </dataValidations>
  <pageMargins left="0.4" right="0.4" top="0.4" bottom="0.4" header="0.2" footer="0.1"/>
  <pageSetup orientation="portrait" verticalDpi="4294967295" r:id="rId1"/>
  <headerFooter>
    <oddHeader xml:space="preserve">&amp;L&amp;"Arial,Regular"&amp;7Form 509c
Rev. 2/24&amp;C&amp;"Arial,Bold"&amp;14 2024 Delaware Child Support Formula&amp;8
 </oddHeader>
    <oddFooter>&amp;Lv1.01</oddFooter>
  </headerFooter>
  <ignoredErrors>
    <ignoredError sqref="U37:V37 U17:V17 U35:V35 V1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State of Delaware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Southmayd, Andrew K (Courts)</dc:creator>
  <cp:lastModifiedBy>Islam, Maliat (Courts)</cp:lastModifiedBy>
  <cp:lastPrinted>2024-01-25T16:47:14Z</cp:lastPrinted>
  <dcterms:created xsi:type="dcterms:W3CDTF">2018-09-27T17:38:49Z</dcterms:created>
  <dcterms:modified xsi:type="dcterms:W3CDTF">2025-02-01T19:52:53Z</dcterms:modified>
</cp:coreProperties>
</file>